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参数配置" sheetId="2" state="visible" r:id="rId2"/>
    <sheet xmlns:r="http://schemas.openxmlformats.org/officeDocument/2006/relationships" name="节假日表" sheetId="3" state="visible" r:id="rId3"/>
    <sheet xmlns:r="http://schemas.openxmlformats.org/officeDocument/2006/relationships" name="车辆基础" sheetId="4" state="visible" r:id="rId4"/>
    <sheet xmlns:r="http://schemas.openxmlformats.org/officeDocument/2006/relationships" name="油卡基础" sheetId="5" state="visible" r:id="rId5"/>
    <sheet xmlns:r="http://schemas.openxmlformats.org/officeDocument/2006/relationships" name="加油记录" sheetId="6" state="visible" r:id="rId6"/>
    <sheet xmlns:r="http://schemas.openxmlformats.org/officeDocument/2006/relationships" name="预警汇总" sheetId="7" state="visible" r:id="rId7"/>
    <sheet xmlns:r="http://schemas.openxmlformats.org/officeDocument/2006/relationships" name="分管领导清单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4">
    <font>
      <name val="Calibri"/>
      <family val="2"/>
      <color theme="1"/>
      <sz val="11"/>
      <scheme val="minor"/>
    </font>
    <font>
      <b val="1"/>
      <color rgb="001F4E78"/>
      <sz val="15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公务用车用油异常预警 · POC 演示工作簿</t>
        </is>
      </c>
    </row>
    <row r="2">
      <c r="A2" t="inlineStr"/>
    </row>
    <row r="3">
      <c r="A3" s="2" t="inlineStr">
        <is>
          <t>【用途】本工作簿是 POC 演示载体（非应用系统）。规则用 Excel 公式实时计算，客户用 Excel 365 / 2021 打开即可看到预警结果。</t>
        </is>
      </c>
    </row>
    <row r="4">
      <c r="A4" s="2" t="inlineStr">
        <is>
          <t>【怎么用】</t>
        </is>
      </c>
    </row>
    <row r="5">
      <c r="A5" s="2" t="inlineStr">
        <is>
          <t xml:space="preserve">  1. 把真实脱敏数据填入「加油记录」表（替换示例占位行），保留表头与公式列。</t>
        </is>
      </c>
    </row>
    <row r="6">
      <c r="A6" s="2" t="inlineStr">
        <is>
          <t xml:space="preserve">  2. 在「车辆基础」「油卡基础」「节假日表」「参数配置」中维护基础信息与阈值。</t>
        </is>
      </c>
    </row>
    <row r="7">
      <c r="A7" s="2" t="inlineStr">
        <is>
          <t xml:space="preserve">  3. 点「加油记录」表头的筛选，按「是否预警」= 预警，即可看到全部命中记录（或用「预警汇总」看统计）。</t>
        </is>
      </c>
    </row>
    <row r="8">
      <c r="A8" s="2" t="inlineStr">
        <is>
          <t xml:space="preserve">  4. 如需模拟「定时跑批」，可后续接 VBA / 计划任务；本 POC 用「手动筛选+刷新」模拟。</t>
        </is>
      </c>
    </row>
    <row r="9">
      <c r="A9" t="inlineStr"/>
    </row>
    <row r="10">
      <c r="A10" s="2" t="inlineStr">
        <is>
          <t>【6 条规则】高频加油 / 油耗超标 / 时段·节假日 / 超额度 / 车辆不匹配 / 区域异常（详见 PRD 第四章）。</t>
        </is>
      </c>
    </row>
    <row r="11">
      <c r="A11" s="2" t="inlineStr">
        <is>
          <t>【重要·待确认】阈值参数（高频次数、油耗容差%、限额、夜间时段、油箱上限）均为占位值，需用客户真实口径替换（见参数配置表「状态」列）。</t>
        </is>
      </c>
    </row>
    <row r="12">
      <c r="A12" s="2" t="inlineStr">
        <is>
          <t>【兼容】MAXIFS/COUNTIFS/SUMIFS/VLOOKUP 需 Excel 2019+；筛选功能全版本可用。</t>
        </is>
      </c>
    </row>
    <row r="13">
      <c r="A13" s="2" t="inlineStr">
        <is>
          <t>【数据质量】里程读数缺失或为空时，油耗类规则自动跳过并标记；单次加油量超油箱上限标记数据异常，不计入油耗。</t>
        </is>
      </c>
    </row>
    <row r="14">
      <c r="A14" s="2" t="inlineStr">
        <is>
          <t>【推送】本 POC 仅生成「分管领导预警清单」（见该表），真实企微/邮件推送为生产版功能。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60" customWidth="1" min="3" max="3"/>
    <col width="12" customWidth="1" min="4" max="4"/>
  </cols>
  <sheetData>
    <row r="1">
      <c r="A1" s="3" t="inlineStr">
        <is>
          <t>参数名</t>
        </is>
      </c>
      <c r="B1" s="3" t="inlineStr">
        <is>
          <t>值</t>
        </is>
      </c>
      <c r="C1" s="3" t="inlineStr">
        <is>
          <t>说明</t>
        </is>
      </c>
      <c r="D1" s="3" t="inlineStr">
        <is>
          <t>状态</t>
        </is>
      </c>
    </row>
    <row r="2">
      <c r="A2" t="inlineStr">
        <is>
          <t>高频次数阈值N</t>
        </is>
      </c>
      <c r="B2" t="n">
        <v>2</v>
      </c>
      <c r="C2" t="inlineStr">
        <is>
          <t>24小时内同车牌加油次数&gt;=此值判高频</t>
        </is>
      </c>
      <c r="D2" t="inlineStr">
        <is>
          <t>待确认</t>
        </is>
      </c>
    </row>
    <row r="3">
      <c r="A3" t="inlineStr">
        <is>
          <t>油耗容差%</t>
        </is>
      </c>
      <c r="B3" t="n">
        <v>20</v>
      </c>
      <c r="C3" t="inlineStr">
        <is>
          <t>实际油耗&gt;定额×(1+此值/100)判超标</t>
        </is>
      </c>
      <c r="D3" t="inlineStr">
        <is>
          <t>待确认</t>
        </is>
      </c>
    </row>
    <row r="4">
      <c r="A4" t="inlineStr">
        <is>
          <t>夜间开始小时</t>
        </is>
      </c>
      <c r="B4" t="n">
        <v>22</v>
      </c>
      <c r="C4" t="inlineStr">
        <is>
          <t>加油小时&gt;=此值 或 &lt;夜间结束 判夜间</t>
        </is>
      </c>
      <c r="D4" t="inlineStr">
        <is>
          <t>待确认</t>
        </is>
      </c>
    </row>
    <row r="5">
      <c r="A5" t="inlineStr">
        <is>
          <t>夜间结束小时</t>
        </is>
      </c>
      <c r="B5" t="n">
        <v>6</v>
      </c>
      <c r="C5" t="inlineStr">
        <is>
          <t>见上</t>
        </is>
      </c>
      <c r="D5" t="inlineStr">
        <is>
          <t>待确认</t>
        </is>
      </c>
    </row>
    <row r="6">
      <c r="A6" t="inlineStr">
        <is>
          <t>油箱容量上限L</t>
        </is>
      </c>
      <c r="B6" t="n">
        <v>300</v>
      </c>
      <c r="C6" t="inlineStr">
        <is>
          <t>单次加油量&gt;此值判数据异常，不计入油耗</t>
        </is>
      </c>
      <c r="D6" t="inlineStr">
        <is>
          <t>待确认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s="3" t="inlineStr">
        <is>
          <t>日期</t>
        </is>
      </c>
    </row>
    <row r="2">
      <c r="A2" s="4" t="n">
        <v>46023</v>
      </c>
    </row>
    <row r="3">
      <c r="A3" s="4" t="n">
        <v>46143</v>
      </c>
    </row>
    <row r="4">
      <c r="A4" s="4" t="n">
        <v>46144</v>
      </c>
    </row>
    <row r="5">
      <c r="A5" s="4" t="n">
        <v>46145</v>
      </c>
    </row>
    <row r="6">
      <c r="A6" s="4" t="n">
        <v>46296</v>
      </c>
    </row>
    <row r="7">
      <c r="A7" s="4" t="n">
        <v>46297</v>
      </c>
    </row>
    <row r="8">
      <c r="A8" s="4" t="n">
        <v>46298</v>
      </c>
    </row>
    <row r="9">
      <c r="A9" t="inlineStr">
        <is>
          <t>（示例占位，请替换为客户当年法定节假日）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6" customWidth="1" min="5" max="5"/>
    <col width="10" customWidth="1" min="6" max="6"/>
  </cols>
  <sheetData>
    <row r="1">
      <c r="A1" s="3" t="inlineStr">
        <is>
          <t>车牌</t>
        </is>
      </c>
      <c r="B1" s="3" t="inlineStr">
        <is>
          <t>车型</t>
        </is>
      </c>
      <c r="C1" s="3" t="inlineStr">
        <is>
          <t>绑定油卡</t>
        </is>
      </c>
      <c r="D1" s="3" t="inlineStr">
        <is>
          <t>常驻城市</t>
        </is>
      </c>
      <c r="E1" s="3" t="inlineStr">
        <is>
          <t>定额油耗L/100km</t>
        </is>
      </c>
      <c r="F1" s="3" t="inlineStr">
        <is>
          <t>分管领导</t>
        </is>
      </c>
    </row>
    <row r="2">
      <c r="A2" t="inlineStr">
        <is>
          <t>鲁A12345</t>
        </is>
      </c>
      <c r="B2" t="inlineStr">
        <is>
          <t>轿车</t>
        </is>
      </c>
      <c r="C2" t="inlineStr">
        <is>
          <t>C001</t>
        </is>
      </c>
      <c r="D2" t="inlineStr">
        <is>
          <t>济南</t>
        </is>
      </c>
      <c r="E2" t="n">
        <v>8.5</v>
      </c>
      <c r="F2" t="inlineStr">
        <is>
          <t>张总</t>
        </is>
      </c>
    </row>
    <row r="3">
      <c r="A3" t="inlineStr">
        <is>
          <t>鲁B23456</t>
        </is>
      </c>
      <c r="B3" t="inlineStr">
        <is>
          <t>SUV</t>
        </is>
      </c>
      <c r="C3" t="inlineStr">
        <is>
          <t>C002</t>
        </is>
      </c>
      <c r="D3" t="inlineStr">
        <is>
          <t>青岛</t>
        </is>
      </c>
      <c r="E3" t="n">
        <v>11</v>
      </c>
      <c r="F3" t="inlineStr">
        <is>
          <t>李总</t>
        </is>
      </c>
    </row>
    <row r="4">
      <c r="A4" t="inlineStr">
        <is>
          <t>鲁C34567</t>
        </is>
      </c>
      <c r="B4" t="inlineStr">
        <is>
          <t>商务车</t>
        </is>
      </c>
      <c r="C4" t="inlineStr">
        <is>
          <t>C003</t>
        </is>
      </c>
      <c r="D4" t="inlineStr">
        <is>
          <t>烟台</t>
        </is>
      </c>
      <c r="E4" t="n">
        <v>9.5</v>
      </c>
      <c r="F4" t="inlineStr">
        <is>
          <t>王总</t>
        </is>
      </c>
    </row>
    <row r="5">
      <c r="A5" t="inlineStr">
        <is>
          <t>（示例占位，请替换为真实车辆台账）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</cols>
  <sheetData>
    <row r="1">
      <c r="A1" s="3" t="inlineStr">
        <is>
          <t>油卡号</t>
        </is>
      </c>
      <c r="B1" s="3" t="inlineStr">
        <is>
          <t>绑定车牌</t>
        </is>
      </c>
      <c r="C1" s="3" t="inlineStr">
        <is>
          <t>单笔限额元</t>
        </is>
      </c>
      <c r="D1" s="3" t="inlineStr">
        <is>
          <t>日限额元</t>
        </is>
      </c>
    </row>
    <row r="2">
      <c r="A2" t="inlineStr">
        <is>
          <t>C001</t>
        </is>
      </c>
      <c r="B2" t="inlineStr">
        <is>
          <t>鲁A12345</t>
        </is>
      </c>
      <c r="C2" t="n">
        <v>2000</v>
      </c>
      <c r="D2" t="n">
        <v>5000</v>
      </c>
    </row>
    <row r="3">
      <c r="A3" t="inlineStr">
        <is>
          <t>C002</t>
        </is>
      </c>
      <c r="B3" t="inlineStr">
        <is>
          <t>鲁B23456</t>
        </is>
      </c>
      <c r="C3" t="n">
        <v>2500</v>
      </c>
      <c r="D3" t="n">
        <v>6000</v>
      </c>
    </row>
    <row r="4">
      <c r="A4" t="inlineStr">
        <is>
          <t>C003</t>
        </is>
      </c>
      <c r="B4" t="inlineStr">
        <is>
          <t>鲁C34567</t>
        </is>
      </c>
      <c r="C4" t="n">
        <v>2000</v>
      </c>
      <c r="D4" t="n">
        <v>5000</v>
      </c>
    </row>
    <row r="5">
      <c r="A5" t="inlineStr">
        <is>
          <t>（示例占位，请替换为真实油卡台账）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8" customWidth="1" min="3" max="3"/>
    <col width="18" customWidth="1" min="4" max="4"/>
    <col width="8" customWidth="1" min="5" max="5"/>
    <col width="8" customWidth="1" min="6" max="6"/>
    <col width="8" customWidth="1" min="7" max="7"/>
    <col width="6" customWidth="1" min="8" max="8"/>
    <col width="12" customWidth="1" min="9" max="9"/>
    <col width="8" customWidth="1" min="10" max="10"/>
    <col width="9" customWidth="1" min="11" max="11"/>
    <col width="9" customWidth="1" min="12" max="12"/>
    <col width="8" customWidth="1" min="13" max="13"/>
    <col width="9" customWidth="1" min="14" max="14"/>
    <col width="11" customWidth="1" min="15" max="15"/>
    <col width="10" customWidth="1" min="16" max="16"/>
    <col width="9" customWidth="1" min="17" max="17"/>
    <col width="9" customWidth="1" min="18" max="18"/>
    <col width="9" customWidth="1" min="19" max="19"/>
    <col width="10" customWidth="1" min="20" max="20"/>
    <col width="10" customWidth="1" min="21" max="21"/>
    <col width="9" customWidth="1" min="22" max="22"/>
    <col width="6" customWidth="1" min="23" max="23"/>
    <col width="22" customWidth="1" min="24" max="24"/>
  </cols>
  <sheetData>
    <row r="1">
      <c r="A1" s="3" t="inlineStr">
        <is>
          <t>记录ID</t>
        </is>
      </c>
      <c r="B1" s="3" t="inlineStr">
        <is>
          <t>车牌</t>
        </is>
      </c>
      <c r="C1" s="3" t="inlineStr">
        <is>
          <t>油卡号</t>
        </is>
      </c>
      <c r="D1" s="3" t="inlineStr">
        <is>
          <t>加油时间</t>
        </is>
      </c>
      <c r="E1" s="3" t="inlineStr">
        <is>
          <t>城市</t>
        </is>
      </c>
      <c r="F1" s="3" t="inlineStr">
        <is>
          <t>加油量L</t>
        </is>
      </c>
      <c r="G1" s="3" t="inlineStr">
        <is>
          <t>金额元</t>
        </is>
      </c>
      <c r="H1" s="3" t="inlineStr">
        <is>
          <t>油品</t>
        </is>
      </c>
      <c r="I1" s="3" t="inlineStr">
        <is>
          <t>里程读数km</t>
        </is>
      </c>
      <c r="J1" s="3" t="inlineStr">
        <is>
          <t>节假日</t>
        </is>
      </c>
      <c r="K1" s="3" t="inlineStr">
        <is>
          <t>是否夜间</t>
        </is>
      </c>
      <c r="L1" s="3" t="inlineStr">
        <is>
          <t>前次里程</t>
        </is>
      </c>
      <c r="M1" s="3" t="inlineStr">
        <is>
          <t>里程差</t>
        </is>
      </c>
      <c r="N1" s="3" t="inlineStr">
        <is>
          <t>实际油耗</t>
        </is>
      </c>
      <c r="O1" s="3" t="inlineStr">
        <is>
          <t>同窗口次数</t>
        </is>
      </c>
      <c r="P1" s="3" t="inlineStr">
        <is>
          <t>绑定车牌</t>
        </is>
      </c>
      <c r="Q1" s="3" t="inlineStr">
        <is>
          <t>定额油耗</t>
        </is>
      </c>
      <c r="R1" s="3" t="inlineStr">
        <is>
          <t>分管领导</t>
        </is>
      </c>
      <c r="S1" s="3" t="inlineStr">
        <is>
          <t>单笔限额</t>
        </is>
      </c>
      <c r="T1" s="3" t="inlineStr">
        <is>
          <t>当日累计</t>
        </is>
      </c>
      <c r="U1" s="3" t="inlineStr">
        <is>
          <t>常驻城市</t>
        </is>
      </c>
      <c r="V1" s="3" t="inlineStr">
        <is>
          <t>是否预警</t>
        </is>
      </c>
      <c r="W1" s="3" t="inlineStr">
        <is>
          <t>级别</t>
        </is>
      </c>
      <c r="X1" s="3" t="inlineStr">
        <is>
          <t>异常类型</t>
        </is>
      </c>
    </row>
    <row r="2">
      <c r="A2" t="inlineStr">
        <is>
          <t>R001</t>
        </is>
      </c>
      <c r="B2" t="inlineStr">
        <is>
          <t>鲁A12345</t>
        </is>
      </c>
      <c r="C2" t="inlineStr">
        <is>
          <t>C001</t>
        </is>
      </c>
      <c r="D2" s="5" t="n">
        <v>46264.375</v>
      </c>
      <c r="E2" t="inlineStr">
        <is>
          <t>济南</t>
        </is>
      </c>
      <c r="F2" t="n">
        <v>42.5</v>
      </c>
      <c r="G2" t="n">
        <v>300</v>
      </c>
      <c r="H2" t="inlineStr">
        <is>
          <t>92</t>
        </is>
      </c>
      <c r="I2" t="n">
        <v>10500</v>
      </c>
      <c r="J2">
        <f>IF(COUNTIF(节假日表!$A$2:$A$100,INT(D2)),"节","")</f>
        <v/>
      </c>
      <c r="K2">
        <f>IF(OR(HOUR(D2)&gt;=参数配置!$B$4,HOUR(D2)&lt;参数配置!$B$5),"夜","")</f>
        <v/>
      </c>
      <c r="L2">
        <f>IFERROR(MAXIFS($I$2:$I$21,$B$2:$B$21,B2,$D$2:$D$21,"&lt;"&amp;D2),0)</f>
        <v/>
      </c>
      <c r="M2">
        <f>IF(L2=0,"",I2-L2)</f>
        <v/>
      </c>
      <c r="N2">
        <f>IF(M2="","",F2/M2*100)</f>
        <v/>
      </c>
      <c r="O2">
        <f>COUNTIFS($B$2:$B$21,B2,$D$2:$D$21,"&gt;="&amp;D2-1)-COUNTIFS($B$2:$B$21,B2,$D$2:$D$21,"&gt;"&amp;D2+1)</f>
        <v/>
      </c>
      <c r="P2">
        <f>IFERROR(VLOOKUP(C2,油卡基础!$A$2:$B$21,2,FALSE),"")</f>
        <v/>
      </c>
      <c r="Q2">
        <f>IFERROR(VLOOKUP(B2,车辆基础!$A$2:$F$21,5,FALSE),"")</f>
        <v/>
      </c>
      <c r="R2">
        <f>IFERROR(VLOOKUP(B2,车辆基础!$A$2:$F$21,6,FALSE),"")</f>
        <v/>
      </c>
      <c r="S2">
        <f>IFERROR(VLOOKUP(C2,油卡基础!$A$2:$D$21,3,FALSE),"")</f>
        <v/>
      </c>
      <c r="T2">
        <f>SUMIFS($G$2:$G$21,$B$2:$B$21,B2,INT($D$2:$D$21),INT(D2))</f>
        <v/>
      </c>
      <c r="U2">
        <f>IFERROR(VLOOKUP(B2,车辆基础!$A$2:$F$21,4,FALSE),"")</f>
        <v/>
      </c>
      <c r="V2">
        <f>IF(OR(O2&gt;=参数配置!$B$2,AND(N2&lt;&gt;"",Q2&lt;&gt;"",N2&gt;Q2*(1+参数配置!$B$3/100)),OR(J2="节",K2="夜"),AND(G2&lt;&gt;"",S2&lt;&gt;"",G2&gt;=S2),AND(P2&lt;&gt;"",P2&lt;&gt;B2),AND(U2&lt;&gt;"",E2&lt;&gt;U2)),"预警","")</f>
        <v/>
      </c>
      <c r="W2">
        <f>IF(V2="预警",IF(OR(AND(P2&lt;&gt;"",P2&lt;&gt;B2),AND(N2&lt;&gt;"",Q2&lt;&gt;"",N2&gt;Q2*(1+参数配置!$B$3/100))),"高","中"),"")</f>
        <v/>
      </c>
      <c r="X2">
        <f>TRIM(IF(O2&gt;=参数配置!$B$2,"高频 ","")&amp;IF(AND(N2&lt;&gt;"",Q2&lt;&gt;"",N2&gt;Q2*(1+参数配置!$B$3/100)),"油耗超标 ","")&amp;IF(OR(J2="节",K2="夜"),"时段/节假日 ","")&amp;IF(AND(G2&lt;&gt;"",S2&lt;&gt;"",G2&gt;=S2),"超额度 ","")&amp;IF(AND(P2&lt;&gt;"",P2&lt;&gt;B2),"车辆不匹配 ","")&amp;IF(AND(U2&lt;&gt;"",E2&lt;&gt;U2),"区域异常 ",""))</f>
        <v/>
      </c>
    </row>
    <row r="3">
      <c r="A3" t="inlineStr">
        <is>
          <t>R002</t>
        </is>
      </c>
      <c r="B3" t="inlineStr">
        <is>
          <t>鲁A12345</t>
        </is>
      </c>
      <c r="C3" t="inlineStr">
        <is>
          <t>C001</t>
        </is>
      </c>
      <c r="D3" s="5" t="n">
        <v>46268.375</v>
      </c>
      <c r="E3" t="inlineStr">
        <is>
          <t>济南</t>
        </is>
      </c>
      <c r="F3" t="n">
        <v>42.5</v>
      </c>
      <c r="G3" t="n">
        <v>300</v>
      </c>
      <c r="H3" t="inlineStr">
        <is>
          <t>92</t>
        </is>
      </c>
      <c r="I3" t="n">
        <v>11000</v>
      </c>
      <c r="J3">
        <f>IF(COUNTIF(节假日表!$A$2:$A$100,INT(D3)),"节","")</f>
        <v/>
      </c>
      <c r="K3">
        <f>IF(OR(HOUR(D3)&gt;=参数配置!$B$4,HOUR(D3)&lt;参数配置!$B$5),"夜","")</f>
        <v/>
      </c>
      <c r="L3">
        <f>IFERROR(MAXIFS($I$2:$I$21,$B$2:$B$21,B3,$D$2:$D$21,"&lt;"&amp;D3),0)</f>
        <v/>
      </c>
      <c r="M3">
        <f>IF(L3=0,"",I3-L3)</f>
        <v/>
      </c>
      <c r="N3">
        <f>IF(M3="","",F3/M3*100)</f>
        <v/>
      </c>
      <c r="O3">
        <f>COUNTIFS($B$2:$B$21,B3,$D$2:$D$21,"&gt;="&amp;D3-1)-COUNTIFS($B$2:$B$21,B3,$D$2:$D$21,"&gt;"&amp;D3+1)</f>
        <v/>
      </c>
      <c r="P3">
        <f>IFERROR(VLOOKUP(C3,油卡基础!$A$2:$B$21,2,FALSE),"")</f>
        <v/>
      </c>
      <c r="Q3">
        <f>IFERROR(VLOOKUP(B3,车辆基础!$A$2:$F$21,5,FALSE),"")</f>
        <v/>
      </c>
      <c r="R3">
        <f>IFERROR(VLOOKUP(B3,车辆基础!$A$2:$F$21,6,FALSE),"")</f>
        <v/>
      </c>
      <c r="S3">
        <f>IFERROR(VLOOKUP(C3,油卡基础!$A$2:$D$21,3,FALSE),"")</f>
        <v/>
      </c>
      <c r="T3">
        <f>SUMIFS($G$2:$G$21,$B$2:$B$21,B3,INT($D$2:$D$21),INT(D3))</f>
        <v/>
      </c>
      <c r="U3">
        <f>IFERROR(VLOOKUP(B3,车辆基础!$A$2:$F$21,4,FALSE),"")</f>
        <v/>
      </c>
      <c r="V3">
        <f>IF(OR(O3&gt;=参数配置!$B$2,AND(N3&lt;&gt;"",Q3&lt;&gt;"",N3&gt;Q3*(1+参数配置!$B$3/100)),OR(J3="节",K3="夜"),AND(G3&lt;&gt;"",S3&lt;&gt;"",G3&gt;=S3),AND(P3&lt;&gt;"",P3&lt;&gt;B3),AND(U3&lt;&gt;"",E3&lt;&gt;U3)),"预警","")</f>
        <v/>
      </c>
      <c r="W3">
        <f>IF(V3="预警",IF(OR(AND(P3&lt;&gt;"",P3&lt;&gt;B3),AND(N3&lt;&gt;"",Q3&lt;&gt;"",N3&gt;Q3*(1+参数配置!$B$3/100))),"高","中"),"")</f>
        <v/>
      </c>
      <c r="X3">
        <f>TRIM(IF(O3&gt;=参数配置!$B$2,"高频 ","")&amp;IF(AND(N3&lt;&gt;"",Q3&lt;&gt;"",N3&gt;Q3*(1+参数配置!$B$3/100)),"油耗超标 ","")&amp;IF(OR(J3="节",K3="夜"),"时段/节假日 ","")&amp;IF(AND(G3&lt;&gt;"",S3&lt;&gt;"",G3&gt;=S3),"超额度 ","")&amp;IF(AND(P3&lt;&gt;"",P3&lt;&gt;B3),"车辆不匹配 ","")&amp;IF(AND(U3&lt;&gt;"",E3&lt;&gt;U3),"区域异常 ",""))</f>
        <v/>
      </c>
    </row>
    <row r="4">
      <c r="A4" t="inlineStr">
        <is>
          <t>R003</t>
        </is>
      </c>
      <c r="B4" t="inlineStr">
        <is>
          <t>鲁A12345</t>
        </is>
      </c>
      <c r="C4" t="inlineStr">
        <is>
          <t>C001</t>
        </is>
      </c>
      <c r="D4" s="5" t="n">
        <v>46272.375</v>
      </c>
      <c r="E4" t="inlineStr">
        <is>
          <t>济南</t>
        </is>
      </c>
      <c r="F4" t="n">
        <v>42.5</v>
      </c>
      <c r="G4" t="n">
        <v>300</v>
      </c>
      <c r="H4" t="inlineStr">
        <is>
          <t>92</t>
        </is>
      </c>
      <c r="I4" t="n">
        <v>11500</v>
      </c>
      <c r="J4">
        <f>IF(COUNTIF(节假日表!$A$2:$A$100,INT(D4)),"节","")</f>
        <v/>
      </c>
      <c r="K4">
        <f>IF(OR(HOUR(D4)&gt;=参数配置!$B$4,HOUR(D4)&lt;参数配置!$B$5),"夜","")</f>
        <v/>
      </c>
      <c r="L4">
        <f>IFERROR(MAXIFS($I$2:$I$21,$B$2:$B$21,B4,$D$2:$D$21,"&lt;"&amp;D4),0)</f>
        <v/>
      </c>
      <c r="M4">
        <f>IF(L4=0,"",I4-L4)</f>
        <v/>
      </c>
      <c r="N4">
        <f>IF(M4="","",F4/M4*100)</f>
        <v/>
      </c>
      <c r="O4">
        <f>COUNTIFS($B$2:$B$21,B4,$D$2:$D$21,"&gt;="&amp;D4-1)-COUNTIFS($B$2:$B$21,B4,$D$2:$D$21,"&gt;"&amp;D4+1)</f>
        <v/>
      </c>
      <c r="P4">
        <f>IFERROR(VLOOKUP(C4,油卡基础!$A$2:$B$21,2,FALSE),"")</f>
        <v/>
      </c>
      <c r="Q4">
        <f>IFERROR(VLOOKUP(B4,车辆基础!$A$2:$F$21,5,FALSE),"")</f>
        <v/>
      </c>
      <c r="R4">
        <f>IFERROR(VLOOKUP(B4,车辆基础!$A$2:$F$21,6,FALSE),"")</f>
        <v/>
      </c>
      <c r="S4">
        <f>IFERROR(VLOOKUP(C4,油卡基础!$A$2:$D$21,3,FALSE),"")</f>
        <v/>
      </c>
      <c r="T4">
        <f>SUMIFS($G$2:$G$21,$B$2:$B$21,B4,INT($D$2:$D$21),INT(D4))</f>
        <v/>
      </c>
      <c r="U4">
        <f>IFERROR(VLOOKUP(B4,车辆基础!$A$2:$F$21,4,FALSE),"")</f>
        <v/>
      </c>
      <c r="V4">
        <f>IF(OR(O4&gt;=参数配置!$B$2,AND(N4&lt;&gt;"",Q4&lt;&gt;"",N4&gt;Q4*(1+参数配置!$B$3/100)),OR(J4="节",K4="夜"),AND(G4&lt;&gt;"",S4&lt;&gt;"",G4&gt;=S4),AND(P4&lt;&gt;"",P4&lt;&gt;B4),AND(U4&lt;&gt;"",E4&lt;&gt;U4)),"预警","")</f>
        <v/>
      </c>
      <c r="W4">
        <f>IF(V4="预警",IF(OR(AND(P4&lt;&gt;"",P4&lt;&gt;B4),AND(N4&lt;&gt;"",Q4&lt;&gt;"",N4&gt;Q4*(1+参数配置!$B$3/100))),"高","中"),"")</f>
        <v/>
      </c>
      <c r="X4">
        <f>TRIM(IF(O4&gt;=参数配置!$B$2,"高频 ","")&amp;IF(AND(N4&lt;&gt;"",Q4&lt;&gt;"",N4&gt;Q4*(1+参数配置!$B$3/100)),"油耗超标 ","")&amp;IF(OR(J4="节",K4="夜"),"时段/节假日 ","")&amp;IF(AND(G4&lt;&gt;"",S4&lt;&gt;"",G4&gt;=S4),"超额度 ","")&amp;IF(AND(P4&lt;&gt;"",P4&lt;&gt;B4),"车辆不匹配 ","")&amp;IF(AND(U4&lt;&gt;"",E4&lt;&gt;U4),"区域异常 ",""))</f>
        <v/>
      </c>
    </row>
    <row r="5">
      <c r="A5" t="inlineStr">
        <is>
          <t>R004</t>
        </is>
      </c>
      <c r="B5" t="inlineStr">
        <is>
          <t>鲁A12345</t>
        </is>
      </c>
      <c r="C5" t="inlineStr">
        <is>
          <t>C001</t>
        </is>
      </c>
      <c r="D5" s="5" t="n">
        <v>46276.375</v>
      </c>
      <c r="E5" t="inlineStr">
        <is>
          <t>济南</t>
        </is>
      </c>
      <c r="F5" t="n">
        <v>42.5</v>
      </c>
      <c r="G5" t="n">
        <v>300</v>
      </c>
      <c r="H5" t="inlineStr">
        <is>
          <t>92</t>
        </is>
      </c>
      <c r="I5" t="n">
        <v>12000</v>
      </c>
      <c r="J5">
        <f>IF(COUNTIF(节假日表!$A$2:$A$100,INT(D5)),"节","")</f>
        <v/>
      </c>
      <c r="K5">
        <f>IF(OR(HOUR(D5)&gt;=参数配置!$B$4,HOUR(D5)&lt;参数配置!$B$5),"夜","")</f>
        <v/>
      </c>
      <c r="L5">
        <f>IFERROR(MAXIFS($I$2:$I$21,$B$2:$B$21,B5,$D$2:$D$21,"&lt;"&amp;D5),0)</f>
        <v/>
      </c>
      <c r="M5">
        <f>IF(L5=0,"",I5-L5)</f>
        <v/>
      </c>
      <c r="N5">
        <f>IF(M5="","",F5/M5*100)</f>
        <v/>
      </c>
      <c r="O5">
        <f>COUNTIFS($B$2:$B$21,B5,$D$2:$D$21,"&gt;="&amp;D5-1)-COUNTIFS($B$2:$B$21,B5,$D$2:$D$21,"&gt;"&amp;D5+1)</f>
        <v/>
      </c>
      <c r="P5">
        <f>IFERROR(VLOOKUP(C5,油卡基础!$A$2:$B$21,2,FALSE),"")</f>
        <v/>
      </c>
      <c r="Q5">
        <f>IFERROR(VLOOKUP(B5,车辆基础!$A$2:$F$21,5,FALSE),"")</f>
        <v/>
      </c>
      <c r="R5">
        <f>IFERROR(VLOOKUP(B5,车辆基础!$A$2:$F$21,6,FALSE),"")</f>
        <v/>
      </c>
      <c r="S5">
        <f>IFERROR(VLOOKUP(C5,油卡基础!$A$2:$D$21,3,FALSE),"")</f>
        <v/>
      </c>
      <c r="T5">
        <f>SUMIFS($G$2:$G$21,$B$2:$B$21,B5,INT($D$2:$D$21),INT(D5))</f>
        <v/>
      </c>
      <c r="U5">
        <f>IFERROR(VLOOKUP(B5,车辆基础!$A$2:$F$21,4,FALSE),"")</f>
        <v/>
      </c>
      <c r="V5">
        <f>IF(OR(O5&gt;=参数配置!$B$2,AND(N5&lt;&gt;"",Q5&lt;&gt;"",N5&gt;Q5*(1+参数配置!$B$3/100)),OR(J5="节",K5="夜"),AND(G5&lt;&gt;"",S5&lt;&gt;"",G5&gt;=S5),AND(P5&lt;&gt;"",P5&lt;&gt;B5),AND(U5&lt;&gt;"",E5&lt;&gt;U5)),"预警","")</f>
        <v/>
      </c>
      <c r="W5">
        <f>IF(V5="预警",IF(OR(AND(P5&lt;&gt;"",P5&lt;&gt;B5),AND(N5&lt;&gt;"",Q5&lt;&gt;"",N5&gt;Q5*(1+参数配置!$B$3/100))),"高","中"),"")</f>
        <v/>
      </c>
      <c r="X5">
        <f>TRIM(IF(O5&gt;=参数配置!$B$2,"高频 ","")&amp;IF(AND(N5&lt;&gt;"",Q5&lt;&gt;"",N5&gt;Q5*(1+参数配置!$B$3/100)),"油耗超标 ","")&amp;IF(OR(J5="节",K5="夜"),"时段/节假日 ","")&amp;IF(AND(G5&lt;&gt;"",S5&lt;&gt;"",G5&gt;=S5),"超额度 ","")&amp;IF(AND(P5&lt;&gt;"",P5&lt;&gt;B5),"车辆不匹配 ","")&amp;IF(AND(U5&lt;&gt;"",E5&lt;&gt;U5),"区域异常 ",""))</f>
        <v/>
      </c>
    </row>
    <row r="6">
      <c r="A6" t="inlineStr">
        <is>
          <t>R005</t>
        </is>
      </c>
      <c r="B6" t="inlineStr">
        <is>
          <t>鲁A12345</t>
        </is>
      </c>
      <c r="C6" t="inlineStr">
        <is>
          <t>C001</t>
        </is>
      </c>
      <c r="D6" s="5" t="n">
        <v>46280.375</v>
      </c>
      <c r="E6" t="inlineStr">
        <is>
          <t>济南</t>
        </is>
      </c>
      <c r="F6" t="n">
        <v>42.5</v>
      </c>
      <c r="G6" t="n">
        <v>300</v>
      </c>
      <c r="H6" t="inlineStr">
        <is>
          <t>92</t>
        </is>
      </c>
      <c r="I6" t="n">
        <v>12500</v>
      </c>
      <c r="J6">
        <f>IF(COUNTIF(节假日表!$A$2:$A$100,INT(D6)),"节","")</f>
        <v/>
      </c>
      <c r="K6">
        <f>IF(OR(HOUR(D6)&gt;=参数配置!$B$4,HOUR(D6)&lt;参数配置!$B$5),"夜","")</f>
        <v/>
      </c>
      <c r="L6">
        <f>IFERROR(MAXIFS($I$2:$I$21,$B$2:$B$21,B6,$D$2:$D$21,"&lt;"&amp;D6),0)</f>
        <v/>
      </c>
      <c r="M6">
        <f>IF(L6=0,"",I6-L6)</f>
        <v/>
      </c>
      <c r="N6">
        <f>IF(M6="","",F6/M6*100)</f>
        <v/>
      </c>
      <c r="O6">
        <f>COUNTIFS($B$2:$B$21,B6,$D$2:$D$21,"&gt;="&amp;D6-1)-COUNTIFS($B$2:$B$21,B6,$D$2:$D$21,"&gt;"&amp;D6+1)</f>
        <v/>
      </c>
      <c r="P6">
        <f>IFERROR(VLOOKUP(C6,油卡基础!$A$2:$B$21,2,FALSE),"")</f>
        <v/>
      </c>
      <c r="Q6">
        <f>IFERROR(VLOOKUP(B6,车辆基础!$A$2:$F$21,5,FALSE),"")</f>
        <v/>
      </c>
      <c r="R6">
        <f>IFERROR(VLOOKUP(B6,车辆基础!$A$2:$F$21,6,FALSE),"")</f>
        <v/>
      </c>
      <c r="S6">
        <f>IFERROR(VLOOKUP(C6,油卡基础!$A$2:$D$21,3,FALSE),"")</f>
        <v/>
      </c>
      <c r="T6">
        <f>SUMIFS($G$2:$G$21,$B$2:$B$21,B6,INT($D$2:$D$21),INT(D6))</f>
        <v/>
      </c>
      <c r="U6">
        <f>IFERROR(VLOOKUP(B6,车辆基础!$A$2:$F$21,4,FALSE),"")</f>
        <v/>
      </c>
      <c r="V6">
        <f>IF(OR(O6&gt;=参数配置!$B$2,AND(N6&lt;&gt;"",Q6&lt;&gt;"",N6&gt;Q6*(1+参数配置!$B$3/100)),OR(J6="节",K6="夜"),AND(G6&lt;&gt;"",S6&lt;&gt;"",G6&gt;=S6),AND(P6&lt;&gt;"",P6&lt;&gt;B6),AND(U6&lt;&gt;"",E6&lt;&gt;U6)),"预警","")</f>
        <v/>
      </c>
      <c r="W6">
        <f>IF(V6="预警",IF(OR(AND(P6&lt;&gt;"",P6&lt;&gt;B6),AND(N6&lt;&gt;"",Q6&lt;&gt;"",N6&gt;Q6*(1+参数配置!$B$3/100))),"高","中"),"")</f>
        <v/>
      </c>
      <c r="X6">
        <f>TRIM(IF(O6&gt;=参数配置!$B$2,"高频 ","")&amp;IF(AND(N6&lt;&gt;"",Q6&lt;&gt;"",N6&gt;Q6*(1+参数配置!$B$3/100)),"油耗超标 ","")&amp;IF(OR(J6="节",K6="夜"),"时段/节假日 ","")&amp;IF(AND(G6&lt;&gt;"",S6&lt;&gt;"",G6&gt;=S6),"超额度 ","")&amp;IF(AND(P6&lt;&gt;"",P6&lt;&gt;B6),"车辆不匹配 ","")&amp;IF(AND(U6&lt;&gt;"",E6&lt;&gt;U6),"区域异常 ",""))</f>
        <v/>
      </c>
    </row>
    <row r="7">
      <c r="A7" t="inlineStr">
        <is>
          <t>R006</t>
        </is>
      </c>
      <c r="B7" t="inlineStr">
        <is>
          <t>鲁A12345</t>
        </is>
      </c>
      <c r="C7" t="inlineStr">
        <is>
          <t>C001</t>
        </is>
      </c>
      <c r="D7" s="5" t="n">
        <v>46284.375</v>
      </c>
      <c r="E7" t="inlineStr">
        <is>
          <t>济南</t>
        </is>
      </c>
      <c r="F7" t="n">
        <v>42.5</v>
      </c>
      <c r="G7" t="n">
        <v>300</v>
      </c>
      <c r="H7" t="inlineStr">
        <is>
          <t>92</t>
        </is>
      </c>
      <c r="I7" t="n">
        <v>13000</v>
      </c>
      <c r="J7">
        <f>IF(COUNTIF(节假日表!$A$2:$A$100,INT(D7)),"节","")</f>
        <v/>
      </c>
      <c r="K7">
        <f>IF(OR(HOUR(D7)&gt;=参数配置!$B$4,HOUR(D7)&lt;参数配置!$B$5),"夜","")</f>
        <v/>
      </c>
      <c r="L7">
        <f>IFERROR(MAXIFS($I$2:$I$21,$B$2:$B$21,B7,$D$2:$D$21,"&lt;"&amp;D7),0)</f>
        <v/>
      </c>
      <c r="M7">
        <f>IF(L7=0,"",I7-L7)</f>
        <v/>
      </c>
      <c r="N7">
        <f>IF(M7="","",F7/M7*100)</f>
        <v/>
      </c>
      <c r="O7">
        <f>COUNTIFS($B$2:$B$21,B7,$D$2:$D$21,"&gt;="&amp;D7-1)-COUNTIFS($B$2:$B$21,B7,$D$2:$D$21,"&gt;"&amp;D7+1)</f>
        <v/>
      </c>
      <c r="P7">
        <f>IFERROR(VLOOKUP(C7,油卡基础!$A$2:$B$21,2,FALSE),"")</f>
        <v/>
      </c>
      <c r="Q7">
        <f>IFERROR(VLOOKUP(B7,车辆基础!$A$2:$F$21,5,FALSE),"")</f>
        <v/>
      </c>
      <c r="R7">
        <f>IFERROR(VLOOKUP(B7,车辆基础!$A$2:$F$21,6,FALSE),"")</f>
        <v/>
      </c>
      <c r="S7">
        <f>IFERROR(VLOOKUP(C7,油卡基础!$A$2:$D$21,3,FALSE),"")</f>
        <v/>
      </c>
      <c r="T7">
        <f>SUMIFS($G$2:$G$21,$B$2:$B$21,B7,INT($D$2:$D$21),INT(D7))</f>
        <v/>
      </c>
      <c r="U7">
        <f>IFERROR(VLOOKUP(B7,车辆基础!$A$2:$F$21,4,FALSE),"")</f>
        <v/>
      </c>
      <c r="V7">
        <f>IF(OR(O7&gt;=参数配置!$B$2,AND(N7&lt;&gt;"",Q7&lt;&gt;"",N7&gt;Q7*(1+参数配置!$B$3/100)),OR(J7="节",K7="夜"),AND(G7&lt;&gt;"",S7&lt;&gt;"",G7&gt;=S7),AND(P7&lt;&gt;"",P7&lt;&gt;B7),AND(U7&lt;&gt;"",E7&lt;&gt;U7)),"预警","")</f>
        <v/>
      </c>
      <c r="W7">
        <f>IF(V7="预警",IF(OR(AND(P7&lt;&gt;"",P7&lt;&gt;B7),AND(N7&lt;&gt;"",Q7&lt;&gt;"",N7&gt;Q7*(1+参数配置!$B$3/100))),"高","中"),"")</f>
        <v/>
      </c>
      <c r="X7">
        <f>TRIM(IF(O7&gt;=参数配置!$B$2,"高频 ","")&amp;IF(AND(N7&lt;&gt;"",Q7&lt;&gt;"",N7&gt;Q7*(1+参数配置!$B$3/100)),"油耗超标 ","")&amp;IF(OR(J7="节",K7="夜"),"时段/节假日 ","")&amp;IF(AND(G7&lt;&gt;"",S7&lt;&gt;"",G7&gt;=S7),"超额度 ","")&amp;IF(AND(P7&lt;&gt;"",P7&lt;&gt;B7),"车辆不匹配 ","")&amp;IF(AND(U7&lt;&gt;"",E7&lt;&gt;U7),"区域异常 ",""))</f>
        <v/>
      </c>
    </row>
    <row r="8">
      <c r="A8" t="inlineStr">
        <is>
          <t>R007</t>
        </is>
      </c>
      <c r="B8" t="inlineStr">
        <is>
          <t>鲁A12345</t>
        </is>
      </c>
      <c r="C8" t="inlineStr">
        <is>
          <t>C001</t>
        </is>
      </c>
      <c r="D8" s="5" t="n">
        <v>46287.375</v>
      </c>
      <c r="E8" t="inlineStr">
        <is>
          <t>济南</t>
        </is>
      </c>
      <c r="F8" t="n">
        <v>42.5</v>
      </c>
      <c r="G8" t="n">
        <v>300</v>
      </c>
      <c r="H8" t="inlineStr">
        <is>
          <t>92</t>
        </is>
      </c>
      <c r="I8" t="n">
        <v>13500</v>
      </c>
      <c r="J8">
        <f>IF(COUNTIF(节假日表!$A$2:$A$100,INT(D8)),"节","")</f>
        <v/>
      </c>
      <c r="K8">
        <f>IF(OR(HOUR(D8)&gt;=参数配置!$B$4,HOUR(D8)&lt;参数配置!$B$5),"夜","")</f>
        <v/>
      </c>
      <c r="L8">
        <f>IFERROR(MAXIFS($I$2:$I$21,$B$2:$B$21,B8,$D$2:$D$21,"&lt;"&amp;D8),0)</f>
        <v/>
      </c>
      <c r="M8">
        <f>IF(L8=0,"",I8-L8)</f>
        <v/>
      </c>
      <c r="N8">
        <f>IF(M8="","",F8/M8*100)</f>
        <v/>
      </c>
      <c r="O8">
        <f>COUNTIFS($B$2:$B$21,B8,$D$2:$D$21,"&gt;="&amp;D8-1)-COUNTIFS($B$2:$B$21,B8,$D$2:$D$21,"&gt;"&amp;D8+1)</f>
        <v/>
      </c>
      <c r="P8">
        <f>IFERROR(VLOOKUP(C8,油卡基础!$A$2:$B$21,2,FALSE),"")</f>
        <v/>
      </c>
      <c r="Q8">
        <f>IFERROR(VLOOKUP(B8,车辆基础!$A$2:$F$21,5,FALSE),"")</f>
        <v/>
      </c>
      <c r="R8">
        <f>IFERROR(VLOOKUP(B8,车辆基础!$A$2:$F$21,6,FALSE),"")</f>
        <v/>
      </c>
      <c r="S8">
        <f>IFERROR(VLOOKUP(C8,油卡基础!$A$2:$D$21,3,FALSE),"")</f>
        <v/>
      </c>
      <c r="T8">
        <f>SUMIFS($G$2:$G$21,$B$2:$B$21,B8,INT($D$2:$D$21),INT(D8))</f>
        <v/>
      </c>
      <c r="U8">
        <f>IFERROR(VLOOKUP(B8,车辆基础!$A$2:$F$21,4,FALSE),"")</f>
        <v/>
      </c>
      <c r="V8">
        <f>IF(OR(O8&gt;=参数配置!$B$2,AND(N8&lt;&gt;"",Q8&lt;&gt;"",N8&gt;Q8*(1+参数配置!$B$3/100)),OR(J8="节",K8="夜"),AND(G8&lt;&gt;"",S8&lt;&gt;"",G8&gt;=S8),AND(P8&lt;&gt;"",P8&lt;&gt;B8),AND(U8&lt;&gt;"",E8&lt;&gt;U8)),"预警","")</f>
        <v/>
      </c>
      <c r="W8">
        <f>IF(V8="预警",IF(OR(AND(P8&lt;&gt;"",P8&lt;&gt;B8),AND(N8&lt;&gt;"",Q8&lt;&gt;"",N8&gt;Q8*(1+参数配置!$B$3/100))),"高","中"),"")</f>
        <v/>
      </c>
      <c r="X8">
        <f>TRIM(IF(O8&gt;=参数配置!$B$2,"高频 ","")&amp;IF(AND(N8&lt;&gt;"",Q8&lt;&gt;"",N8&gt;Q8*(1+参数配置!$B$3/100)),"油耗超标 ","")&amp;IF(OR(J8="节",K8="夜"),"时段/节假日 ","")&amp;IF(AND(G8&lt;&gt;"",S8&lt;&gt;"",G8&gt;=S8),"超额度 ","")&amp;IF(AND(P8&lt;&gt;"",P8&lt;&gt;B8),"车辆不匹配 ","")&amp;IF(AND(U8&lt;&gt;"",E8&lt;&gt;U8),"区域异常 ",""))</f>
        <v/>
      </c>
    </row>
    <row r="9">
      <c r="A9" t="inlineStr">
        <is>
          <t>R008</t>
        </is>
      </c>
      <c r="B9" t="inlineStr">
        <is>
          <t>鲁A12345</t>
        </is>
      </c>
      <c r="C9" t="inlineStr">
        <is>
          <t>C001</t>
        </is>
      </c>
      <c r="D9" s="5" t="n">
        <v>46287.83333333334</v>
      </c>
      <c r="E9" t="inlineStr">
        <is>
          <t>济南</t>
        </is>
      </c>
      <c r="F9" t="n">
        <v>42.5</v>
      </c>
      <c r="G9" t="n">
        <v>300</v>
      </c>
      <c r="H9" t="inlineStr">
        <is>
          <t>92</t>
        </is>
      </c>
      <c r="I9" t="n">
        <v>13500</v>
      </c>
      <c r="J9">
        <f>IF(COUNTIF(节假日表!$A$2:$A$100,INT(D9)),"节","")</f>
        <v/>
      </c>
      <c r="K9">
        <f>IF(OR(HOUR(D9)&gt;=参数配置!$B$4,HOUR(D9)&lt;参数配置!$B$5),"夜","")</f>
        <v/>
      </c>
      <c r="L9">
        <f>IFERROR(MAXIFS($I$2:$I$21,$B$2:$B$21,B9,$D$2:$D$21,"&lt;"&amp;D9),0)</f>
        <v/>
      </c>
      <c r="M9">
        <f>IF(L9=0,"",I9-L9)</f>
        <v/>
      </c>
      <c r="N9">
        <f>IF(M9="","",F9/M9*100)</f>
        <v/>
      </c>
      <c r="O9">
        <f>COUNTIFS($B$2:$B$21,B9,$D$2:$D$21,"&gt;="&amp;D9-1)-COUNTIFS($B$2:$B$21,B9,$D$2:$D$21,"&gt;"&amp;D9+1)</f>
        <v/>
      </c>
      <c r="P9">
        <f>IFERROR(VLOOKUP(C9,油卡基础!$A$2:$B$21,2,FALSE),"")</f>
        <v/>
      </c>
      <c r="Q9">
        <f>IFERROR(VLOOKUP(B9,车辆基础!$A$2:$F$21,5,FALSE),"")</f>
        <v/>
      </c>
      <c r="R9">
        <f>IFERROR(VLOOKUP(B9,车辆基础!$A$2:$F$21,6,FALSE),"")</f>
        <v/>
      </c>
      <c r="S9">
        <f>IFERROR(VLOOKUP(C9,油卡基础!$A$2:$D$21,3,FALSE),"")</f>
        <v/>
      </c>
      <c r="T9">
        <f>SUMIFS($G$2:$G$21,$B$2:$B$21,B9,INT($D$2:$D$21),INT(D9))</f>
        <v/>
      </c>
      <c r="U9">
        <f>IFERROR(VLOOKUP(B9,车辆基础!$A$2:$F$21,4,FALSE),"")</f>
        <v/>
      </c>
      <c r="V9">
        <f>IF(OR(O9&gt;=参数配置!$B$2,AND(N9&lt;&gt;"",Q9&lt;&gt;"",N9&gt;Q9*(1+参数配置!$B$3/100)),OR(J9="节",K9="夜"),AND(G9&lt;&gt;"",S9&lt;&gt;"",G9&gt;=S9),AND(P9&lt;&gt;"",P9&lt;&gt;B9),AND(U9&lt;&gt;"",E9&lt;&gt;U9)),"预警","")</f>
        <v/>
      </c>
      <c r="W9">
        <f>IF(V9="预警",IF(OR(AND(P9&lt;&gt;"",P9&lt;&gt;B9),AND(N9&lt;&gt;"",Q9&lt;&gt;"",N9&gt;Q9*(1+参数配置!$B$3/100))),"高","中"),"")</f>
        <v/>
      </c>
      <c r="X9">
        <f>TRIM(IF(O9&gt;=参数配置!$B$2,"高频 ","")&amp;IF(AND(N9&lt;&gt;"",Q9&lt;&gt;"",N9&gt;Q9*(1+参数配置!$B$3/100)),"油耗超标 ","")&amp;IF(OR(J9="节",K9="夜"),"时段/节假日 ","")&amp;IF(AND(G9&lt;&gt;"",S9&lt;&gt;"",G9&gt;=S9),"超额度 ","")&amp;IF(AND(P9&lt;&gt;"",P9&lt;&gt;B9),"车辆不匹配 ","")&amp;IF(AND(U9&lt;&gt;"",E9&lt;&gt;U9),"区域异常 ",""))</f>
        <v/>
      </c>
    </row>
    <row r="10">
      <c r="A10" t="inlineStr">
        <is>
          <t>R009</t>
        </is>
      </c>
      <c r="B10" t="inlineStr">
        <is>
          <t>鲁A12345</t>
        </is>
      </c>
      <c r="C10" t="inlineStr">
        <is>
          <t>C001</t>
        </is>
      </c>
      <c r="D10" s="5" t="n">
        <v>46292.41666666666</v>
      </c>
      <c r="E10" t="inlineStr">
        <is>
          <t>济南</t>
        </is>
      </c>
      <c r="F10" t="n">
        <v>42.5</v>
      </c>
      <c r="G10" t="n">
        <v>300</v>
      </c>
      <c r="H10" t="inlineStr">
        <is>
          <t>92</t>
        </is>
      </c>
      <c r="I10" t="n">
        <v>13600</v>
      </c>
      <c r="J10">
        <f>IF(COUNTIF(节假日表!$A$2:$A$100,INT(D10)),"节","")</f>
        <v/>
      </c>
      <c r="K10">
        <f>IF(OR(HOUR(D10)&gt;=参数配置!$B$4,HOUR(D10)&lt;参数配置!$B$5),"夜","")</f>
        <v/>
      </c>
      <c r="L10">
        <f>IFERROR(MAXIFS($I$2:$I$21,$B$2:$B$21,B10,$D$2:$D$21,"&lt;"&amp;D10),0)</f>
        <v/>
      </c>
      <c r="M10">
        <f>IF(L10=0,"",I10-L10)</f>
        <v/>
      </c>
      <c r="N10">
        <f>IF(M10="","",F10/M10*100)</f>
        <v/>
      </c>
      <c r="O10">
        <f>COUNTIFS($B$2:$B$21,B10,$D$2:$D$21,"&gt;="&amp;D10-1)-COUNTIFS($B$2:$B$21,B10,$D$2:$D$21,"&gt;"&amp;D10+1)</f>
        <v/>
      </c>
      <c r="P10">
        <f>IFERROR(VLOOKUP(C10,油卡基础!$A$2:$B$21,2,FALSE),"")</f>
        <v/>
      </c>
      <c r="Q10">
        <f>IFERROR(VLOOKUP(B10,车辆基础!$A$2:$F$21,5,FALSE),"")</f>
        <v/>
      </c>
      <c r="R10">
        <f>IFERROR(VLOOKUP(B10,车辆基础!$A$2:$F$21,6,FALSE),"")</f>
        <v/>
      </c>
      <c r="S10">
        <f>IFERROR(VLOOKUP(C10,油卡基础!$A$2:$D$21,3,FALSE),"")</f>
        <v/>
      </c>
      <c r="T10">
        <f>SUMIFS($G$2:$G$21,$B$2:$B$21,B10,INT($D$2:$D$21),INT(D10))</f>
        <v/>
      </c>
      <c r="U10">
        <f>IFERROR(VLOOKUP(B10,车辆基础!$A$2:$F$21,4,FALSE),"")</f>
        <v/>
      </c>
      <c r="V10">
        <f>IF(OR(O10&gt;=参数配置!$B$2,AND(N10&lt;&gt;"",Q10&lt;&gt;"",N10&gt;Q10*(1+参数配置!$B$3/100)),OR(J10="节",K10="夜"),AND(G10&lt;&gt;"",S10&lt;&gt;"",G10&gt;=S10),AND(P10&lt;&gt;"",P10&lt;&gt;B10),AND(U10&lt;&gt;"",E10&lt;&gt;U10)),"预警","")</f>
        <v/>
      </c>
      <c r="W10">
        <f>IF(V10="预警",IF(OR(AND(P10&lt;&gt;"",P10&lt;&gt;B10),AND(N10&lt;&gt;"",Q10&lt;&gt;"",N10&gt;Q10*(1+参数配置!$B$3/100))),"高","中"),"")</f>
        <v/>
      </c>
      <c r="X10">
        <f>TRIM(IF(O10&gt;=参数配置!$B$2,"高频 ","")&amp;IF(AND(N10&lt;&gt;"",Q10&lt;&gt;"",N10&gt;Q10*(1+参数配置!$B$3/100)),"油耗超标 ","")&amp;IF(OR(J10="节",K10="夜"),"时段/节假日 ","")&amp;IF(AND(G10&lt;&gt;"",S10&lt;&gt;"",G10&gt;=S10),"超额度 ","")&amp;IF(AND(P10&lt;&gt;"",P10&lt;&gt;B10),"车辆不匹配 ","")&amp;IF(AND(U10&lt;&gt;"",E10&lt;&gt;U10),"区域异常 ",""))</f>
        <v/>
      </c>
    </row>
    <row r="11">
      <c r="A11" t="inlineStr">
        <is>
          <t>R010</t>
        </is>
      </c>
      <c r="B11" t="inlineStr">
        <is>
          <t>鲁A12345</t>
        </is>
      </c>
      <c r="C11" t="inlineStr">
        <is>
          <t>C001</t>
        </is>
      </c>
      <c r="D11" s="5" t="n">
        <v>46294.97916666666</v>
      </c>
      <c r="E11" t="inlineStr">
        <is>
          <t>济南</t>
        </is>
      </c>
      <c r="F11" t="n">
        <v>42.5</v>
      </c>
      <c r="G11" t="n">
        <v>300</v>
      </c>
      <c r="H11" t="inlineStr">
        <is>
          <t>92</t>
        </is>
      </c>
      <c r="I11" t="n">
        <v>14100</v>
      </c>
      <c r="J11">
        <f>IF(COUNTIF(节假日表!$A$2:$A$100,INT(D11)),"节","")</f>
        <v/>
      </c>
      <c r="K11">
        <f>IF(OR(HOUR(D11)&gt;=参数配置!$B$4,HOUR(D11)&lt;参数配置!$B$5),"夜","")</f>
        <v/>
      </c>
      <c r="L11">
        <f>IFERROR(MAXIFS($I$2:$I$21,$B$2:$B$21,B11,$D$2:$D$21,"&lt;"&amp;D11),0)</f>
        <v/>
      </c>
      <c r="M11">
        <f>IF(L11=0,"",I11-L11)</f>
        <v/>
      </c>
      <c r="N11">
        <f>IF(M11="","",F11/M11*100)</f>
        <v/>
      </c>
      <c r="O11">
        <f>COUNTIFS($B$2:$B$21,B11,$D$2:$D$21,"&gt;="&amp;D11-1)-COUNTIFS($B$2:$B$21,B11,$D$2:$D$21,"&gt;"&amp;D11+1)</f>
        <v/>
      </c>
      <c r="P11">
        <f>IFERROR(VLOOKUP(C11,油卡基础!$A$2:$B$21,2,FALSE),"")</f>
        <v/>
      </c>
      <c r="Q11">
        <f>IFERROR(VLOOKUP(B11,车辆基础!$A$2:$F$21,5,FALSE),"")</f>
        <v/>
      </c>
      <c r="R11">
        <f>IFERROR(VLOOKUP(B11,车辆基础!$A$2:$F$21,6,FALSE),"")</f>
        <v/>
      </c>
      <c r="S11">
        <f>IFERROR(VLOOKUP(C11,油卡基础!$A$2:$D$21,3,FALSE),"")</f>
        <v/>
      </c>
      <c r="T11">
        <f>SUMIFS($G$2:$G$21,$B$2:$B$21,B11,INT($D$2:$D$21),INT(D11))</f>
        <v/>
      </c>
      <c r="U11">
        <f>IFERROR(VLOOKUP(B11,车辆基础!$A$2:$F$21,4,FALSE),"")</f>
        <v/>
      </c>
      <c r="V11">
        <f>IF(OR(O11&gt;=参数配置!$B$2,AND(N11&lt;&gt;"",Q11&lt;&gt;"",N11&gt;Q11*(1+参数配置!$B$3/100)),OR(J11="节",K11="夜"),AND(G11&lt;&gt;"",S11&lt;&gt;"",G11&gt;=S11),AND(P11&lt;&gt;"",P11&lt;&gt;B11),AND(U11&lt;&gt;"",E11&lt;&gt;U11)),"预警","")</f>
        <v/>
      </c>
      <c r="W11">
        <f>IF(V11="预警",IF(OR(AND(P11&lt;&gt;"",P11&lt;&gt;B11),AND(N11&lt;&gt;"",Q11&lt;&gt;"",N11&gt;Q11*(1+参数配置!$B$3/100))),"高","中"),"")</f>
        <v/>
      </c>
      <c r="X11">
        <f>TRIM(IF(O11&gt;=参数配置!$B$2,"高频 ","")&amp;IF(AND(N11&lt;&gt;"",Q11&lt;&gt;"",N11&gt;Q11*(1+参数配置!$B$3/100)),"油耗超标 ","")&amp;IF(OR(J11="节",K11="夜"),"时段/节假日 ","")&amp;IF(AND(G11&lt;&gt;"",S11&lt;&gt;"",G11&gt;=S11),"超额度 ","")&amp;IF(AND(P11&lt;&gt;"",P11&lt;&gt;B11),"车辆不匹配 ","")&amp;IF(AND(U11&lt;&gt;"",E11&lt;&gt;U11),"区域异常 ",""))</f>
        <v/>
      </c>
    </row>
    <row r="12">
      <c r="A12" t="inlineStr">
        <is>
          <t>R011</t>
        </is>
      </c>
      <c r="B12" t="inlineStr">
        <is>
          <t>鲁A12345</t>
        </is>
      </c>
      <c r="C12" t="inlineStr">
        <is>
          <t>C001</t>
        </is>
      </c>
      <c r="D12" s="5" t="n">
        <v>46297.41666666666</v>
      </c>
      <c r="E12" t="inlineStr">
        <is>
          <t>济南</t>
        </is>
      </c>
      <c r="F12" t="n">
        <v>42.5</v>
      </c>
      <c r="G12" t="n">
        <v>300</v>
      </c>
      <c r="H12" t="inlineStr">
        <is>
          <t>92</t>
        </is>
      </c>
      <c r="I12" t="n">
        <v>14600</v>
      </c>
      <c r="J12">
        <f>IF(COUNTIF(节假日表!$A$2:$A$100,INT(D12)),"节","")</f>
        <v/>
      </c>
      <c r="K12">
        <f>IF(OR(HOUR(D12)&gt;=参数配置!$B$4,HOUR(D12)&lt;参数配置!$B$5),"夜","")</f>
        <v/>
      </c>
      <c r="L12">
        <f>IFERROR(MAXIFS($I$2:$I$21,$B$2:$B$21,B12,$D$2:$D$21,"&lt;"&amp;D12),0)</f>
        <v/>
      </c>
      <c r="M12">
        <f>IF(L12=0,"",I12-L12)</f>
        <v/>
      </c>
      <c r="N12">
        <f>IF(M12="","",F12/M12*100)</f>
        <v/>
      </c>
      <c r="O12">
        <f>COUNTIFS($B$2:$B$21,B12,$D$2:$D$21,"&gt;="&amp;D12-1)-COUNTIFS($B$2:$B$21,B12,$D$2:$D$21,"&gt;"&amp;D12+1)</f>
        <v/>
      </c>
      <c r="P12">
        <f>IFERROR(VLOOKUP(C12,油卡基础!$A$2:$B$21,2,FALSE),"")</f>
        <v/>
      </c>
      <c r="Q12">
        <f>IFERROR(VLOOKUP(B12,车辆基础!$A$2:$F$21,5,FALSE),"")</f>
        <v/>
      </c>
      <c r="R12">
        <f>IFERROR(VLOOKUP(B12,车辆基础!$A$2:$F$21,6,FALSE),"")</f>
        <v/>
      </c>
      <c r="S12">
        <f>IFERROR(VLOOKUP(C12,油卡基础!$A$2:$D$21,3,FALSE),"")</f>
        <v/>
      </c>
      <c r="T12">
        <f>SUMIFS($G$2:$G$21,$B$2:$B$21,B12,INT($D$2:$D$21),INT(D12))</f>
        <v/>
      </c>
      <c r="U12">
        <f>IFERROR(VLOOKUP(B12,车辆基础!$A$2:$F$21,4,FALSE),"")</f>
        <v/>
      </c>
      <c r="V12">
        <f>IF(OR(O12&gt;=参数配置!$B$2,AND(N12&lt;&gt;"",Q12&lt;&gt;"",N12&gt;Q12*(1+参数配置!$B$3/100)),OR(J12="节",K12="夜"),AND(G12&lt;&gt;"",S12&lt;&gt;"",G12&gt;=S12),AND(P12&lt;&gt;"",P12&lt;&gt;B12),AND(U12&lt;&gt;"",E12&lt;&gt;U12)),"预警","")</f>
        <v/>
      </c>
      <c r="W12">
        <f>IF(V12="预警",IF(OR(AND(P12&lt;&gt;"",P12&lt;&gt;B12),AND(N12&lt;&gt;"",Q12&lt;&gt;"",N12&gt;Q12*(1+参数配置!$B$3/100))),"高","中"),"")</f>
        <v/>
      </c>
      <c r="X12">
        <f>TRIM(IF(O12&gt;=参数配置!$B$2,"高频 ","")&amp;IF(AND(N12&lt;&gt;"",Q12&lt;&gt;"",N12&gt;Q12*(1+参数配置!$B$3/100)),"油耗超标 ","")&amp;IF(OR(J12="节",K12="夜"),"时段/节假日 ","")&amp;IF(AND(G12&lt;&gt;"",S12&lt;&gt;"",G12&gt;=S12),"超额度 ","")&amp;IF(AND(P12&lt;&gt;"",P12&lt;&gt;B12),"车辆不匹配 ","")&amp;IF(AND(U12&lt;&gt;"",E12&lt;&gt;U12),"区域异常 ",""))</f>
        <v/>
      </c>
    </row>
    <row r="13">
      <c r="A13" t="inlineStr">
        <is>
          <t>R012</t>
        </is>
      </c>
      <c r="B13" t="inlineStr">
        <is>
          <t>鲁A12345</t>
        </is>
      </c>
      <c r="C13" t="inlineStr">
        <is>
          <t>C001</t>
        </is>
      </c>
      <c r="D13" s="5" t="n">
        <v>46299.41666666666</v>
      </c>
      <c r="E13" t="inlineStr">
        <is>
          <t>济南</t>
        </is>
      </c>
      <c r="F13" t="n">
        <v>42.5</v>
      </c>
      <c r="G13" t="n">
        <v>3000</v>
      </c>
      <c r="H13" t="inlineStr">
        <is>
          <t>92</t>
        </is>
      </c>
      <c r="I13" t="n">
        <v>15100</v>
      </c>
      <c r="J13">
        <f>IF(COUNTIF(节假日表!$A$2:$A$100,INT(D13)),"节","")</f>
        <v/>
      </c>
      <c r="K13">
        <f>IF(OR(HOUR(D13)&gt;=参数配置!$B$4,HOUR(D13)&lt;参数配置!$B$5),"夜","")</f>
        <v/>
      </c>
      <c r="L13">
        <f>IFERROR(MAXIFS($I$2:$I$21,$B$2:$B$21,B13,$D$2:$D$21,"&lt;"&amp;D13),0)</f>
        <v/>
      </c>
      <c r="M13">
        <f>IF(L13=0,"",I13-L13)</f>
        <v/>
      </c>
      <c r="N13">
        <f>IF(M13="","",F13/M13*100)</f>
        <v/>
      </c>
      <c r="O13">
        <f>COUNTIFS($B$2:$B$21,B13,$D$2:$D$21,"&gt;="&amp;D13-1)-COUNTIFS($B$2:$B$21,B13,$D$2:$D$21,"&gt;"&amp;D13+1)</f>
        <v/>
      </c>
      <c r="P13">
        <f>IFERROR(VLOOKUP(C13,油卡基础!$A$2:$B$21,2,FALSE),"")</f>
        <v/>
      </c>
      <c r="Q13">
        <f>IFERROR(VLOOKUP(B13,车辆基础!$A$2:$F$21,5,FALSE),"")</f>
        <v/>
      </c>
      <c r="R13">
        <f>IFERROR(VLOOKUP(B13,车辆基础!$A$2:$F$21,6,FALSE),"")</f>
        <v/>
      </c>
      <c r="S13">
        <f>IFERROR(VLOOKUP(C13,油卡基础!$A$2:$D$21,3,FALSE),"")</f>
        <v/>
      </c>
      <c r="T13">
        <f>SUMIFS($G$2:$G$21,$B$2:$B$21,B13,INT($D$2:$D$21),INT(D13))</f>
        <v/>
      </c>
      <c r="U13">
        <f>IFERROR(VLOOKUP(B13,车辆基础!$A$2:$F$21,4,FALSE),"")</f>
        <v/>
      </c>
      <c r="V13">
        <f>IF(OR(O13&gt;=参数配置!$B$2,AND(N13&lt;&gt;"",Q13&lt;&gt;"",N13&gt;Q13*(1+参数配置!$B$3/100)),OR(J13="节",K13="夜"),AND(G13&lt;&gt;"",S13&lt;&gt;"",G13&gt;=S13),AND(P13&lt;&gt;"",P13&lt;&gt;B13),AND(U13&lt;&gt;"",E13&lt;&gt;U13)),"预警","")</f>
        <v/>
      </c>
      <c r="W13">
        <f>IF(V13="预警",IF(OR(AND(P13&lt;&gt;"",P13&lt;&gt;B13),AND(N13&lt;&gt;"",Q13&lt;&gt;"",N13&gt;Q13*(1+参数配置!$B$3/100))),"高","中"),"")</f>
        <v/>
      </c>
      <c r="X13">
        <f>TRIM(IF(O13&gt;=参数配置!$B$2,"高频 ","")&amp;IF(AND(N13&lt;&gt;"",Q13&lt;&gt;"",N13&gt;Q13*(1+参数配置!$B$3/100)),"油耗超标 ","")&amp;IF(OR(J13="节",K13="夜"),"时段/节假日 ","")&amp;IF(AND(G13&lt;&gt;"",S13&lt;&gt;"",G13&gt;=S13),"超额度 ","")&amp;IF(AND(P13&lt;&gt;"",P13&lt;&gt;B13),"车辆不匹配 ","")&amp;IF(AND(U13&lt;&gt;"",E13&lt;&gt;U13),"区域异常 ",""))</f>
        <v/>
      </c>
    </row>
    <row r="14">
      <c r="A14" t="inlineStr">
        <is>
          <t>R013</t>
        </is>
      </c>
      <c r="B14" t="inlineStr">
        <is>
          <t>鲁A12345</t>
        </is>
      </c>
      <c r="C14" t="inlineStr">
        <is>
          <t>C002</t>
        </is>
      </c>
      <c r="D14" s="5" t="n">
        <v>46301.41666666666</v>
      </c>
      <c r="E14" t="inlineStr">
        <is>
          <t>济南</t>
        </is>
      </c>
      <c r="F14" t="n">
        <v>42.5</v>
      </c>
      <c r="G14" t="n">
        <v>300</v>
      </c>
      <c r="H14" t="inlineStr">
        <is>
          <t>92</t>
        </is>
      </c>
      <c r="I14" t="n">
        <v>15600</v>
      </c>
      <c r="J14">
        <f>IF(COUNTIF(节假日表!$A$2:$A$100,INT(D14)),"节","")</f>
        <v/>
      </c>
      <c r="K14">
        <f>IF(OR(HOUR(D14)&gt;=参数配置!$B$4,HOUR(D14)&lt;参数配置!$B$5),"夜","")</f>
        <v/>
      </c>
      <c r="L14">
        <f>IFERROR(MAXIFS($I$2:$I$21,$B$2:$B$21,B14,$D$2:$D$21,"&lt;"&amp;D14),0)</f>
        <v/>
      </c>
      <c r="M14">
        <f>IF(L14=0,"",I14-L14)</f>
        <v/>
      </c>
      <c r="N14">
        <f>IF(M14="","",F14/M14*100)</f>
        <v/>
      </c>
      <c r="O14">
        <f>COUNTIFS($B$2:$B$21,B14,$D$2:$D$21,"&gt;="&amp;D14-1)-COUNTIFS($B$2:$B$21,B14,$D$2:$D$21,"&gt;"&amp;D14+1)</f>
        <v/>
      </c>
      <c r="P14">
        <f>IFERROR(VLOOKUP(C14,油卡基础!$A$2:$B$21,2,FALSE),"")</f>
        <v/>
      </c>
      <c r="Q14">
        <f>IFERROR(VLOOKUP(B14,车辆基础!$A$2:$F$21,5,FALSE),"")</f>
        <v/>
      </c>
      <c r="R14">
        <f>IFERROR(VLOOKUP(B14,车辆基础!$A$2:$F$21,6,FALSE),"")</f>
        <v/>
      </c>
      <c r="S14">
        <f>IFERROR(VLOOKUP(C14,油卡基础!$A$2:$D$21,3,FALSE),"")</f>
        <v/>
      </c>
      <c r="T14">
        <f>SUMIFS($G$2:$G$21,$B$2:$B$21,B14,INT($D$2:$D$21),INT(D14))</f>
        <v/>
      </c>
      <c r="U14">
        <f>IFERROR(VLOOKUP(B14,车辆基础!$A$2:$F$21,4,FALSE),"")</f>
        <v/>
      </c>
      <c r="V14">
        <f>IF(OR(O14&gt;=参数配置!$B$2,AND(N14&lt;&gt;"",Q14&lt;&gt;"",N14&gt;Q14*(1+参数配置!$B$3/100)),OR(J14="节",K14="夜"),AND(G14&lt;&gt;"",S14&lt;&gt;"",G14&gt;=S14),AND(P14&lt;&gt;"",P14&lt;&gt;B14),AND(U14&lt;&gt;"",E14&lt;&gt;U14)),"预警","")</f>
        <v/>
      </c>
      <c r="W14">
        <f>IF(V14="预警",IF(OR(AND(P14&lt;&gt;"",P14&lt;&gt;B14),AND(N14&lt;&gt;"",Q14&lt;&gt;"",N14&gt;Q14*(1+参数配置!$B$3/100))),"高","中"),"")</f>
        <v/>
      </c>
      <c r="X14">
        <f>TRIM(IF(O14&gt;=参数配置!$B$2,"高频 ","")&amp;IF(AND(N14&lt;&gt;"",Q14&lt;&gt;"",N14&gt;Q14*(1+参数配置!$B$3/100)),"油耗超标 ","")&amp;IF(OR(J14="节",K14="夜"),"时段/节假日 ","")&amp;IF(AND(G14&lt;&gt;"",S14&lt;&gt;"",G14&gt;=S14),"超额度 ","")&amp;IF(AND(P14&lt;&gt;"",P14&lt;&gt;B14),"车辆不匹配 ","")&amp;IF(AND(U14&lt;&gt;"",E14&lt;&gt;U14),"区域异常 ",""))</f>
        <v/>
      </c>
    </row>
    <row r="15">
      <c r="A15" t="inlineStr">
        <is>
          <t>R014</t>
        </is>
      </c>
      <c r="B15" t="inlineStr">
        <is>
          <t>鲁A12345</t>
        </is>
      </c>
      <c r="C15" t="inlineStr">
        <is>
          <t>C001</t>
        </is>
      </c>
      <c r="D15" s="5" t="n">
        <v>46304.41666666666</v>
      </c>
      <c r="E15" t="inlineStr">
        <is>
          <t>上海</t>
        </is>
      </c>
      <c r="F15" t="n">
        <v>42.5</v>
      </c>
      <c r="G15" t="n">
        <v>300</v>
      </c>
      <c r="H15" t="inlineStr">
        <is>
          <t>92</t>
        </is>
      </c>
      <c r="I15" t="n">
        <v>16100</v>
      </c>
      <c r="J15">
        <f>IF(COUNTIF(节假日表!$A$2:$A$100,INT(D15)),"节","")</f>
        <v/>
      </c>
      <c r="K15">
        <f>IF(OR(HOUR(D15)&gt;=参数配置!$B$4,HOUR(D15)&lt;参数配置!$B$5),"夜","")</f>
        <v/>
      </c>
      <c r="L15">
        <f>IFERROR(MAXIFS($I$2:$I$21,$B$2:$B$21,B15,$D$2:$D$21,"&lt;"&amp;D15),0)</f>
        <v/>
      </c>
      <c r="M15">
        <f>IF(L15=0,"",I15-L15)</f>
        <v/>
      </c>
      <c r="N15">
        <f>IF(M15="","",F15/M15*100)</f>
        <v/>
      </c>
      <c r="O15">
        <f>COUNTIFS($B$2:$B$21,B15,$D$2:$D$21,"&gt;="&amp;D15-1)-COUNTIFS($B$2:$B$21,B15,$D$2:$D$21,"&gt;"&amp;D15+1)</f>
        <v/>
      </c>
      <c r="P15">
        <f>IFERROR(VLOOKUP(C15,油卡基础!$A$2:$B$21,2,FALSE),"")</f>
        <v/>
      </c>
      <c r="Q15">
        <f>IFERROR(VLOOKUP(B15,车辆基础!$A$2:$F$21,5,FALSE),"")</f>
        <v/>
      </c>
      <c r="R15">
        <f>IFERROR(VLOOKUP(B15,车辆基础!$A$2:$F$21,6,FALSE),"")</f>
        <v/>
      </c>
      <c r="S15">
        <f>IFERROR(VLOOKUP(C15,油卡基础!$A$2:$D$21,3,FALSE),"")</f>
        <v/>
      </c>
      <c r="T15">
        <f>SUMIFS($G$2:$G$21,$B$2:$B$21,B15,INT($D$2:$D$21),INT(D15))</f>
        <v/>
      </c>
      <c r="U15">
        <f>IFERROR(VLOOKUP(B15,车辆基础!$A$2:$F$21,4,FALSE),"")</f>
        <v/>
      </c>
      <c r="V15">
        <f>IF(OR(O15&gt;=参数配置!$B$2,AND(N15&lt;&gt;"",Q15&lt;&gt;"",N15&gt;Q15*(1+参数配置!$B$3/100)),OR(J15="节",K15="夜"),AND(G15&lt;&gt;"",S15&lt;&gt;"",G15&gt;=S15),AND(P15&lt;&gt;"",P15&lt;&gt;B15),AND(U15&lt;&gt;"",E15&lt;&gt;U15)),"预警","")</f>
        <v/>
      </c>
      <c r="W15">
        <f>IF(V15="预警",IF(OR(AND(P15&lt;&gt;"",P15&lt;&gt;B15),AND(N15&lt;&gt;"",Q15&lt;&gt;"",N15&gt;Q15*(1+参数配置!$B$3/100))),"高","中"),"")</f>
        <v/>
      </c>
      <c r="X15">
        <f>TRIM(IF(O15&gt;=参数配置!$B$2,"高频 ","")&amp;IF(AND(N15&lt;&gt;"",Q15&lt;&gt;"",N15&gt;Q15*(1+参数配置!$B$3/100)),"油耗超标 ","")&amp;IF(OR(J15="节",K15="夜"),"时段/节假日 ","")&amp;IF(AND(G15&lt;&gt;"",S15&lt;&gt;"",G15&gt;=S15),"超额度 ","")&amp;IF(AND(P15&lt;&gt;"",P15&lt;&gt;B15),"车辆不匹配 ","")&amp;IF(AND(U15&lt;&gt;"",E15&lt;&gt;U15),"区域异常 ",""))</f>
        <v/>
      </c>
    </row>
    <row r="16">
      <c r="A16" t="inlineStr">
        <is>
          <t>R015</t>
        </is>
      </c>
      <c r="B16" t="inlineStr">
        <is>
          <t>鲁B23456</t>
        </is>
      </c>
      <c r="C16" t="inlineStr">
        <is>
          <t>C002</t>
        </is>
      </c>
      <c r="D16" s="5" t="n">
        <v>46275.375</v>
      </c>
      <c r="E16" t="inlineStr">
        <is>
          <t>青岛</t>
        </is>
      </c>
      <c r="F16" t="n">
        <v>66</v>
      </c>
      <c r="G16" t="n">
        <v>460</v>
      </c>
      <c r="H16" t="inlineStr">
        <is>
          <t>95</t>
        </is>
      </c>
      <c r="I16" t="n">
        <v>20600</v>
      </c>
      <c r="J16">
        <f>IF(COUNTIF(节假日表!$A$2:$A$100,INT(D16)),"节","")</f>
        <v/>
      </c>
      <c r="K16">
        <f>IF(OR(HOUR(D16)&gt;=参数配置!$B$4,HOUR(D16)&lt;参数配置!$B$5),"夜","")</f>
        <v/>
      </c>
      <c r="L16">
        <f>IFERROR(MAXIFS($I$2:$I$21,$B$2:$B$21,B16,$D$2:$D$21,"&lt;"&amp;D16),0)</f>
        <v/>
      </c>
      <c r="M16">
        <f>IF(L16=0,"",I16-L16)</f>
        <v/>
      </c>
      <c r="N16">
        <f>IF(M16="","",F16/M16*100)</f>
        <v/>
      </c>
      <c r="O16">
        <f>COUNTIFS($B$2:$B$21,B16,$D$2:$D$21,"&gt;="&amp;D16-1)-COUNTIFS($B$2:$B$21,B16,$D$2:$D$21,"&gt;"&amp;D16+1)</f>
        <v/>
      </c>
      <c r="P16">
        <f>IFERROR(VLOOKUP(C16,油卡基础!$A$2:$B$21,2,FALSE),"")</f>
        <v/>
      </c>
      <c r="Q16">
        <f>IFERROR(VLOOKUP(B16,车辆基础!$A$2:$F$21,5,FALSE),"")</f>
        <v/>
      </c>
      <c r="R16">
        <f>IFERROR(VLOOKUP(B16,车辆基础!$A$2:$F$21,6,FALSE),"")</f>
        <v/>
      </c>
      <c r="S16">
        <f>IFERROR(VLOOKUP(C16,油卡基础!$A$2:$D$21,3,FALSE),"")</f>
        <v/>
      </c>
      <c r="T16">
        <f>SUMIFS($G$2:$G$21,$B$2:$B$21,B16,INT($D$2:$D$21),INT(D16))</f>
        <v/>
      </c>
      <c r="U16">
        <f>IFERROR(VLOOKUP(B16,车辆基础!$A$2:$F$21,4,FALSE),"")</f>
        <v/>
      </c>
      <c r="V16">
        <f>IF(OR(O16&gt;=参数配置!$B$2,AND(N16&lt;&gt;"",Q16&lt;&gt;"",N16&gt;Q16*(1+参数配置!$B$3/100)),OR(J16="节",K16="夜"),AND(G16&lt;&gt;"",S16&lt;&gt;"",G16&gt;=S16),AND(P16&lt;&gt;"",P16&lt;&gt;B16),AND(U16&lt;&gt;"",E16&lt;&gt;U16)),"预警","")</f>
        <v/>
      </c>
      <c r="W16">
        <f>IF(V16="预警",IF(OR(AND(P16&lt;&gt;"",P16&lt;&gt;B16),AND(N16&lt;&gt;"",Q16&lt;&gt;"",N16&gt;Q16*(1+参数配置!$B$3/100))),"高","中"),"")</f>
        <v/>
      </c>
      <c r="X16">
        <f>TRIM(IF(O16&gt;=参数配置!$B$2,"高频 ","")&amp;IF(AND(N16&lt;&gt;"",Q16&lt;&gt;"",N16&gt;Q16*(1+参数配置!$B$3/100)),"油耗超标 ","")&amp;IF(OR(J16="节",K16="夜"),"时段/节假日 ","")&amp;IF(AND(G16&lt;&gt;"",S16&lt;&gt;"",G16&gt;=S16),"超额度 ","")&amp;IF(AND(P16&lt;&gt;"",P16&lt;&gt;B16),"车辆不匹配 ","")&amp;IF(AND(U16&lt;&gt;"",E16&lt;&gt;U16),"区域异常 ",""))</f>
        <v/>
      </c>
    </row>
    <row r="17">
      <c r="A17" t="inlineStr">
        <is>
          <t>R016</t>
        </is>
      </c>
      <c r="B17" t="inlineStr">
        <is>
          <t>鲁C34567</t>
        </is>
      </c>
      <c r="C17" t="inlineStr">
        <is>
          <t>C003</t>
        </is>
      </c>
      <c r="D17" s="5" t="n">
        <v>46277.375</v>
      </c>
      <c r="E17" t="inlineStr">
        <is>
          <t>烟台</t>
        </is>
      </c>
      <c r="F17" t="n">
        <v>52</v>
      </c>
      <c r="G17" t="n">
        <v>360</v>
      </c>
      <c r="H17" t="inlineStr">
        <is>
          <t>92</t>
        </is>
      </c>
      <c r="I17" t="n">
        <v>30550</v>
      </c>
      <c r="J17">
        <f>IF(COUNTIF(节假日表!$A$2:$A$100,INT(D17)),"节","")</f>
        <v/>
      </c>
      <c r="K17">
        <f>IF(OR(HOUR(D17)&gt;=参数配置!$B$4,HOUR(D17)&lt;参数配置!$B$5),"夜","")</f>
        <v/>
      </c>
      <c r="L17">
        <f>IFERROR(MAXIFS($I$2:$I$21,$B$2:$B$21,B17,$D$2:$D$21,"&lt;"&amp;D17),0)</f>
        <v/>
      </c>
      <c r="M17">
        <f>IF(L17=0,"",I17-L17)</f>
        <v/>
      </c>
      <c r="N17">
        <f>IF(M17="","",F17/M17*100)</f>
        <v/>
      </c>
      <c r="O17">
        <f>COUNTIFS($B$2:$B$21,B17,$D$2:$D$21,"&gt;="&amp;D17-1)-COUNTIFS($B$2:$B$21,B17,$D$2:$D$21,"&gt;"&amp;D17+1)</f>
        <v/>
      </c>
      <c r="P17">
        <f>IFERROR(VLOOKUP(C17,油卡基础!$A$2:$B$21,2,FALSE),"")</f>
        <v/>
      </c>
      <c r="Q17">
        <f>IFERROR(VLOOKUP(B17,车辆基础!$A$2:$F$21,5,FALSE),"")</f>
        <v/>
      </c>
      <c r="R17">
        <f>IFERROR(VLOOKUP(B17,车辆基础!$A$2:$F$21,6,FALSE),"")</f>
        <v/>
      </c>
      <c r="S17">
        <f>IFERROR(VLOOKUP(C17,油卡基础!$A$2:$D$21,3,FALSE),"")</f>
        <v/>
      </c>
      <c r="T17">
        <f>SUMIFS($G$2:$G$21,$B$2:$B$21,B17,INT($D$2:$D$21),INT(D17))</f>
        <v/>
      </c>
      <c r="U17">
        <f>IFERROR(VLOOKUP(B17,车辆基础!$A$2:$F$21,4,FALSE),"")</f>
        <v/>
      </c>
      <c r="V17">
        <f>IF(OR(O17&gt;=参数配置!$B$2,AND(N17&lt;&gt;"",Q17&lt;&gt;"",N17&gt;Q17*(1+参数配置!$B$3/100)),OR(J17="节",K17="夜"),AND(G17&lt;&gt;"",S17&lt;&gt;"",G17&gt;=S17),AND(P17&lt;&gt;"",P17&lt;&gt;B17),AND(U17&lt;&gt;"",E17&lt;&gt;U17)),"预警","")</f>
        <v/>
      </c>
      <c r="W17">
        <f>IF(V17="预警",IF(OR(AND(P17&lt;&gt;"",P17&lt;&gt;B17),AND(N17&lt;&gt;"",Q17&lt;&gt;"",N17&gt;Q17*(1+参数配置!$B$3/100))),"高","中"),"")</f>
        <v/>
      </c>
      <c r="X17">
        <f>TRIM(IF(O17&gt;=参数配置!$B$2,"高频 ","")&amp;IF(AND(N17&lt;&gt;"",Q17&lt;&gt;"",N17&gt;Q17*(1+参数配置!$B$3/100)),"油耗超标 ","")&amp;IF(OR(J17="节",K17="夜"),"时段/节假日 ","")&amp;IF(AND(G17&lt;&gt;"",S17&lt;&gt;"",G17&gt;=S17),"超额度 ","")&amp;IF(AND(P17&lt;&gt;"",P17&lt;&gt;B17),"车辆不匹配 ","")&amp;IF(AND(U17&lt;&gt;"",E17&lt;&gt;U17),"区域异常 ",""))</f>
        <v/>
      </c>
    </row>
    <row r="18">
      <c r="A18" t="inlineStr">
        <is>
          <t>R017</t>
        </is>
      </c>
      <c r="B18" t="inlineStr">
        <is>
          <t>鲁B23456</t>
        </is>
      </c>
      <c r="C18" t="inlineStr">
        <is>
          <t>C002</t>
        </is>
      </c>
      <c r="D18" s="5" t="n">
        <v>46282.375</v>
      </c>
      <c r="E18" t="inlineStr">
        <is>
          <t>青岛</t>
        </is>
      </c>
      <c r="F18" t="n">
        <v>66</v>
      </c>
      <c r="G18" t="n">
        <v>460</v>
      </c>
      <c r="H18" t="inlineStr">
        <is>
          <t>95</t>
        </is>
      </c>
      <c r="I18" t="n">
        <v>21200</v>
      </c>
      <c r="J18">
        <f>IF(COUNTIF(节假日表!$A$2:$A$100,INT(D18)),"节","")</f>
        <v/>
      </c>
      <c r="K18">
        <f>IF(OR(HOUR(D18)&gt;=参数配置!$B$4,HOUR(D18)&lt;参数配置!$B$5),"夜","")</f>
        <v/>
      </c>
      <c r="L18">
        <f>IFERROR(MAXIFS($I$2:$I$21,$B$2:$B$21,B18,$D$2:$D$21,"&lt;"&amp;D18),0)</f>
        <v/>
      </c>
      <c r="M18">
        <f>IF(L18=0,"",I18-L18)</f>
        <v/>
      </c>
      <c r="N18">
        <f>IF(M18="","",F18/M18*100)</f>
        <v/>
      </c>
      <c r="O18">
        <f>COUNTIFS($B$2:$B$21,B18,$D$2:$D$21,"&gt;="&amp;D18-1)-COUNTIFS($B$2:$B$21,B18,$D$2:$D$21,"&gt;"&amp;D18+1)</f>
        <v/>
      </c>
      <c r="P18">
        <f>IFERROR(VLOOKUP(C18,油卡基础!$A$2:$B$21,2,FALSE),"")</f>
        <v/>
      </c>
      <c r="Q18">
        <f>IFERROR(VLOOKUP(B18,车辆基础!$A$2:$F$21,5,FALSE),"")</f>
        <v/>
      </c>
      <c r="R18">
        <f>IFERROR(VLOOKUP(B18,车辆基础!$A$2:$F$21,6,FALSE),"")</f>
        <v/>
      </c>
      <c r="S18">
        <f>IFERROR(VLOOKUP(C18,油卡基础!$A$2:$D$21,3,FALSE),"")</f>
        <v/>
      </c>
      <c r="T18">
        <f>SUMIFS($G$2:$G$21,$B$2:$B$21,B18,INT($D$2:$D$21),INT(D18))</f>
        <v/>
      </c>
      <c r="U18">
        <f>IFERROR(VLOOKUP(B18,车辆基础!$A$2:$F$21,4,FALSE),"")</f>
        <v/>
      </c>
      <c r="V18">
        <f>IF(OR(O18&gt;=参数配置!$B$2,AND(N18&lt;&gt;"",Q18&lt;&gt;"",N18&gt;Q18*(1+参数配置!$B$3/100)),OR(J18="节",K18="夜"),AND(G18&lt;&gt;"",S18&lt;&gt;"",G18&gt;=S18),AND(P18&lt;&gt;"",P18&lt;&gt;B18),AND(U18&lt;&gt;"",E18&lt;&gt;U18)),"预警","")</f>
        <v/>
      </c>
      <c r="W18">
        <f>IF(V18="预警",IF(OR(AND(P18&lt;&gt;"",P18&lt;&gt;B18),AND(N18&lt;&gt;"",Q18&lt;&gt;"",N18&gt;Q18*(1+参数配置!$B$3/100))),"高","中"),"")</f>
        <v/>
      </c>
      <c r="X18">
        <f>TRIM(IF(O18&gt;=参数配置!$B$2,"高频 ","")&amp;IF(AND(N18&lt;&gt;"",Q18&lt;&gt;"",N18&gt;Q18*(1+参数配置!$B$3/100)),"油耗超标 ","")&amp;IF(OR(J18="节",K18="夜"),"时段/节假日 ","")&amp;IF(AND(G18&lt;&gt;"",S18&lt;&gt;"",G18&gt;=S18),"超额度 ","")&amp;IF(AND(P18&lt;&gt;"",P18&lt;&gt;B18),"车辆不匹配 ","")&amp;IF(AND(U18&lt;&gt;"",E18&lt;&gt;U18),"区域异常 ",""))</f>
        <v/>
      </c>
    </row>
    <row r="19">
      <c r="A19" t="inlineStr">
        <is>
          <t>R018</t>
        </is>
      </c>
      <c r="B19" t="inlineStr">
        <is>
          <t>鲁C34567</t>
        </is>
      </c>
      <c r="C19" t="inlineStr">
        <is>
          <t>C003</t>
        </is>
      </c>
      <c r="D19" s="5" t="n">
        <v>46284.375</v>
      </c>
      <c r="E19" t="inlineStr">
        <is>
          <t>烟台</t>
        </is>
      </c>
      <c r="F19" t="n">
        <v>52</v>
      </c>
      <c r="G19" t="n">
        <v>360</v>
      </c>
      <c r="H19" t="inlineStr">
        <is>
          <t>92</t>
        </is>
      </c>
      <c r="I19" t="n">
        <v>31100</v>
      </c>
      <c r="J19">
        <f>IF(COUNTIF(节假日表!$A$2:$A$100,INT(D19)),"节","")</f>
        <v/>
      </c>
      <c r="K19">
        <f>IF(OR(HOUR(D19)&gt;=参数配置!$B$4,HOUR(D19)&lt;参数配置!$B$5),"夜","")</f>
        <v/>
      </c>
      <c r="L19">
        <f>IFERROR(MAXIFS($I$2:$I$21,$B$2:$B$21,B19,$D$2:$D$21,"&lt;"&amp;D19),0)</f>
        <v/>
      </c>
      <c r="M19">
        <f>IF(L19=0,"",I19-L19)</f>
        <v/>
      </c>
      <c r="N19">
        <f>IF(M19="","",F19/M19*100)</f>
        <v/>
      </c>
      <c r="O19">
        <f>COUNTIFS($B$2:$B$21,B19,$D$2:$D$21,"&gt;="&amp;D19-1)-COUNTIFS($B$2:$B$21,B19,$D$2:$D$21,"&gt;"&amp;D19+1)</f>
        <v/>
      </c>
      <c r="P19">
        <f>IFERROR(VLOOKUP(C19,油卡基础!$A$2:$B$21,2,FALSE),"")</f>
        <v/>
      </c>
      <c r="Q19">
        <f>IFERROR(VLOOKUP(B19,车辆基础!$A$2:$F$21,5,FALSE),"")</f>
        <v/>
      </c>
      <c r="R19">
        <f>IFERROR(VLOOKUP(B19,车辆基础!$A$2:$F$21,6,FALSE),"")</f>
        <v/>
      </c>
      <c r="S19">
        <f>IFERROR(VLOOKUP(C19,油卡基础!$A$2:$D$21,3,FALSE),"")</f>
        <v/>
      </c>
      <c r="T19">
        <f>SUMIFS($G$2:$G$21,$B$2:$B$21,B19,INT($D$2:$D$21),INT(D19))</f>
        <v/>
      </c>
      <c r="U19">
        <f>IFERROR(VLOOKUP(B19,车辆基础!$A$2:$F$21,4,FALSE),"")</f>
        <v/>
      </c>
      <c r="V19">
        <f>IF(OR(O19&gt;=参数配置!$B$2,AND(N19&lt;&gt;"",Q19&lt;&gt;"",N19&gt;Q19*(1+参数配置!$B$3/100)),OR(J19="节",K19="夜"),AND(G19&lt;&gt;"",S19&lt;&gt;"",G19&gt;=S19),AND(P19&lt;&gt;"",P19&lt;&gt;B19),AND(U19&lt;&gt;"",E19&lt;&gt;U19)),"预警","")</f>
        <v/>
      </c>
      <c r="W19">
        <f>IF(V19="预警",IF(OR(AND(P19&lt;&gt;"",P19&lt;&gt;B19),AND(N19&lt;&gt;"",Q19&lt;&gt;"",N19&gt;Q19*(1+参数配置!$B$3/100))),"高","中"),"")</f>
        <v/>
      </c>
      <c r="X19">
        <f>TRIM(IF(O19&gt;=参数配置!$B$2,"高频 ","")&amp;IF(AND(N19&lt;&gt;"",Q19&lt;&gt;"",N19&gt;Q19*(1+参数配置!$B$3/100)),"油耗超标 ","")&amp;IF(OR(J19="节",K19="夜"),"时段/节假日 ","")&amp;IF(AND(G19&lt;&gt;"",S19&lt;&gt;"",G19&gt;=S19),"超额度 ","")&amp;IF(AND(P19&lt;&gt;"",P19&lt;&gt;B19),"车辆不匹配 ","")&amp;IF(AND(U19&lt;&gt;"",E19&lt;&gt;U19),"区域异常 ",""))</f>
        <v/>
      </c>
    </row>
    <row r="20">
      <c r="A20" t="inlineStr">
        <is>
          <t>R019</t>
        </is>
      </c>
      <c r="B20" t="inlineStr">
        <is>
          <t>鲁B23456</t>
        </is>
      </c>
      <c r="C20" t="inlineStr">
        <is>
          <t>C002</t>
        </is>
      </c>
      <c r="D20" s="5" t="n">
        <v>46289.375</v>
      </c>
      <c r="E20" t="inlineStr">
        <is>
          <t>青岛</t>
        </is>
      </c>
      <c r="F20" t="n">
        <v>66</v>
      </c>
      <c r="G20" t="n">
        <v>460</v>
      </c>
      <c r="H20" t="inlineStr">
        <is>
          <t>95</t>
        </is>
      </c>
      <c r="I20" t="n">
        <v>21800</v>
      </c>
      <c r="J20">
        <f>IF(COUNTIF(节假日表!$A$2:$A$100,INT(D20)),"节","")</f>
        <v/>
      </c>
      <c r="K20">
        <f>IF(OR(HOUR(D20)&gt;=参数配置!$B$4,HOUR(D20)&lt;参数配置!$B$5),"夜","")</f>
        <v/>
      </c>
      <c r="L20">
        <f>IFERROR(MAXIFS($I$2:$I$21,$B$2:$B$21,B20,$D$2:$D$21,"&lt;"&amp;D20),0)</f>
        <v/>
      </c>
      <c r="M20">
        <f>IF(L20=0,"",I20-L20)</f>
        <v/>
      </c>
      <c r="N20">
        <f>IF(M20="","",F20/M20*100)</f>
        <v/>
      </c>
      <c r="O20">
        <f>COUNTIFS($B$2:$B$21,B20,$D$2:$D$21,"&gt;="&amp;D20-1)-COUNTIFS($B$2:$B$21,B20,$D$2:$D$21,"&gt;"&amp;D20+1)</f>
        <v/>
      </c>
      <c r="P20">
        <f>IFERROR(VLOOKUP(C20,油卡基础!$A$2:$B$21,2,FALSE),"")</f>
        <v/>
      </c>
      <c r="Q20">
        <f>IFERROR(VLOOKUP(B20,车辆基础!$A$2:$F$21,5,FALSE),"")</f>
        <v/>
      </c>
      <c r="R20">
        <f>IFERROR(VLOOKUP(B20,车辆基础!$A$2:$F$21,6,FALSE),"")</f>
        <v/>
      </c>
      <c r="S20">
        <f>IFERROR(VLOOKUP(C20,油卡基础!$A$2:$D$21,3,FALSE),"")</f>
        <v/>
      </c>
      <c r="T20">
        <f>SUMIFS($G$2:$G$21,$B$2:$B$21,B20,INT($D$2:$D$21),INT(D20))</f>
        <v/>
      </c>
      <c r="U20">
        <f>IFERROR(VLOOKUP(B20,车辆基础!$A$2:$F$21,4,FALSE),"")</f>
        <v/>
      </c>
      <c r="V20">
        <f>IF(OR(O20&gt;=参数配置!$B$2,AND(N20&lt;&gt;"",Q20&lt;&gt;"",N20&gt;Q20*(1+参数配置!$B$3/100)),OR(J20="节",K20="夜"),AND(G20&lt;&gt;"",S20&lt;&gt;"",G20&gt;=S20),AND(P20&lt;&gt;"",P20&lt;&gt;B20),AND(U20&lt;&gt;"",E20&lt;&gt;U20)),"预警","")</f>
        <v/>
      </c>
      <c r="W20">
        <f>IF(V20="预警",IF(OR(AND(P20&lt;&gt;"",P20&lt;&gt;B20),AND(N20&lt;&gt;"",Q20&lt;&gt;"",N20&gt;Q20*(1+参数配置!$B$3/100))),"高","中"),"")</f>
        <v/>
      </c>
      <c r="X20">
        <f>TRIM(IF(O20&gt;=参数配置!$B$2,"高频 ","")&amp;IF(AND(N20&lt;&gt;"",Q20&lt;&gt;"",N20&gt;Q20*(1+参数配置!$B$3/100)),"油耗超标 ","")&amp;IF(OR(J20="节",K20="夜"),"时段/节假日 ","")&amp;IF(AND(G20&lt;&gt;"",S20&lt;&gt;"",G20&gt;=S20),"超额度 ","")&amp;IF(AND(P20&lt;&gt;"",P20&lt;&gt;B20),"车辆不匹配 ","")&amp;IF(AND(U20&lt;&gt;"",E20&lt;&gt;U20),"区域异常 ",""))</f>
        <v/>
      </c>
    </row>
    <row r="21">
      <c r="A21" t="inlineStr">
        <is>
          <t>R020</t>
        </is>
      </c>
      <c r="B21" t="inlineStr">
        <is>
          <t>鲁C34567</t>
        </is>
      </c>
      <c r="C21" t="inlineStr">
        <is>
          <t>C003</t>
        </is>
      </c>
      <c r="D21" s="5" t="n">
        <v>46291.375</v>
      </c>
      <c r="E21" t="inlineStr">
        <is>
          <t>烟台</t>
        </is>
      </c>
      <c r="F21" t="n">
        <v>52</v>
      </c>
      <c r="G21" t="n">
        <v>360</v>
      </c>
      <c r="H21" t="inlineStr">
        <is>
          <t>92</t>
        </is>
      </c>
      <c r="I21" t="n">
        <v>31650</v>
      </c>
      <c r="J21">
        <f>IF(COUNTIF(节假日表!$A$2:$A$100,INT(D21)),"节","")</f>
        <v/>
      </c>
      <c r="K21">
        <f>IF(OR(HOUR(D21)&gt;=参数配置!$B$4,HOUR(D21)&lt;参数配置!$B$5),"夜","")</f>
        <v/>
      </c>
      <c r="L21">
        <f>IFERROR(MAXIFS($I$2:$I$21,$B$2:$B$21,B21,$D$2:$D$21,"&lt;"&amp;D21),0)</f>
        <v/>
      </c>
      <c r="M21">
        <f>IF(L21=0,"",I21-L21)</f>
        <v/>
      </c>
      <c r="N21">
        <f>IF(M21="","",F21/M21*100)</f>
        <v/>
      </c>
      <c r="O21">
        <f>COUNTIFS($B$2:$B$21,B21,$D$2:$D$21,"&gt;="&amp;D21-1)-COUNTIFS($B$2:$B$21,B21,$D$2:$D$21,"&gt;"&amp;D21+1)</f>
        <v/>
      </c>
      <c r="P21">
        <f>IFERROR(VLOOKUP(C21,油卡基础!$A$2:$B$21,2,FALSE),"")</f>
        <v/>
      </c>
      <c r="Q21">
        <f>IFERROR(VLOOKUP(B21,车辆基础!$A$2:$F$21,5,FALSE),"")</f>
        <v/>
      </c>
      <c r="R21">
        <f>IFERROR(VLOOKUP(B21,车辆基础!$A$2:$F$21,6,FALSE),"")</f>
        <v/>
      </c>
      <c r="S21">
        <f>IFERROR(VLOOKUP(C21,油卡基础!$A$2:$D$21,3,FALSE),"")</f>
        <v/>
      </c>
      <c r="T21">
        <f>SUMIFS($G$2:$G$21,$B$2:$B$21,B21,INT($D$2:$D$21),INT(D21))</f>
        <v/>
      </c>
      <c r="U21">
        <f>IFERROR(VLOOKUP(B21,车辆基础!$A$2:$F$21,4,FALSE),"")</f>
        <v/>
      </c>
      <c r="V21">
        <f>IF(OR(O21&gt;=参数配置!$B$2,AND(N21&lt;&gt;"",Q21&lt;&gt;"",N21&gt;Q21*(1+参数配置!$B$3/100)),OR(J21="节",K21="夜"),AND(G21&lt;&gt;"",S21&lt;&gt;"",G21&gt;=S21),AND(P21&lt;&gt;"",P21&lt;&gt;B21),AND(U21&lt;&gt;"",E21&lt;&gt;U21)),"预警","")</f>
        <v/>
      </c>
      <c r="W21">
        <f>IF(V21="预警",IF(OR(AND(P21&lt;&gt;"",P21&lt;&gt;B21),AND(N21&lt;&gt;"",Q21&lt;&gt;"",N21&gt;Q21*(1+参数配置!$B$3/100))),"高","中"),"")</f>
        <v/>
      </c>
      <c r="X21">
        <f>TRIM(IF(O21&gt;=参数配置!$B$2,"高频 ","")&amp;IF(AND(N21&lt;&gt;"",Q21&lt;&gt;"",N21&gt;Q21*(1+参数配置!$B$3/100)),"油耗超标 ","")&amp;IF(OR(J21="节",K21="夜"),"时段/节假日 ","")&amp;IF(AND(G21&lt;&gt;"",S21&lt;&gt;"",G21&gt;=S21),"超额度 ","")&amp;IF(AND(P21&lt;&gt;"",P21&lt;&gt;B21),"车辆不匹配 ","")&amp;IF(AND(U21&lt;&gt;"",E21&lt;&gt;U21),"区域异常 ",""))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40" customWidth="1" min="3" max="3"/>
  </cols>
  <sheetData>
    <row r="1">
      <c r="A1" s="3" t="inlineStr">
        <is>
          <t>指标</t>
        </is>
      </c>
      <c r="B1" s="3" t="inlineStr">
        <is>
          <t>值</t>
        </is>
      </c>
      <c r="C1" s="3" t="inlineStr">
        <is>
          <t>说明</t>
        </is>
      </c>
    </row>
    <row r="2">
      <c r="A2" t="inlineStr">
        <is>
          <t>预警总数</t>
        </is>
      </c>
      <c r="B2">
        <f>COUNTIF(加油记录!V2:V21,"预警")</f>
        <v/>
      </c>
      <c r="C2" t="inlineStr">
        <is>
          <t>全部命中记录数</t>
        </is>
      </c>
    </row>
    <row r="3">
      <c r="A3" t="inlineStr">
        <is>
          <t>高危数</t>
        </is>
      </c>
      <c r="B3">
        <f>COUNTIF(加油记录!W2:W21,"高")</f>
        <v/>
      </c>
      <c r="C3" t="inlineStr">
        <is>
          <t>级别=高的记录数</t>
        </is>
      </c>
    </row>
    <row r="4">
      <c r="A4" t="inlineStr">
        <is>
          <t>中危数</t>
        </is>
      </c>
      <c r="B4">
        <f>COUNTIF(加油记录!W2:W21,"中")</f>
        <v/>
      </c>
      <c r="C4" t="inlineStr">
        <is>
          <t>级别=中的记录数</t>
        </is>
      </c>
    </row>
    <row r="5">
      <c r="A5" t="inlineStr">
        <is>
          <t>规则命中-高频</t>
        </is>
      </c>
      <c r="B5">
        <f>COUNTIF(加油记录!X2:X21,"*高频*")</f>
        <v/>
      </c>
      <c r="C5" t="inlineStr">
        <is>
          <t>异常类型含「高频」</t>
        </is>
      </c>
    </row>
    <row r="6">
      <c r="A6" t="inlineStr">
        <is>
          <t>规则命中-油耗超标</t>
        </is>
      </c>
      <c r="B6">
        <f>COUNTIF(加油记录!X2:X21,"*油耗超标*")</f>
        <v/>
      </c>
      <c r="C6" t="inlineStr">
        <is>
          <t>异常类型含「油耗超标」</t>
        </is>
      </c>
    </row>
    <row r="7">
      <c r="A7" t="inlineStr">
        <is>
          <t>规则命中-时段/节假日</t>
        </is>
      </c>
      <c r="B7">
        <f>COUNTIF(加油记录!X2:X21,"*时段/节假日*")</f>
        <v/>
      </c>
      <c r="C7" t="inlineStr">
        <is>
          <t>异常类型含「时段/节假日」</t>
        </is>
      </c>
    </row>
    <row r="8">
      <c r="A8" t="inlineStr">
        <is>
          <t>规则命中-超额度</t>
        </is>
      </c>
      <c r="B8">
        <f>COUNTIF(加油记录!X2:X21,"*超额度*")</f>
        <v/>
      </c>
      <c r="C8" t="inlineStr">
        <is>
          <t>异常类型含「超额度」</t>
        </is>
      </c>
    </row>
    <row r="9">
      <c r="A9" t="inlineStr">
        <is>
          <t>规则命中-车辆不匹配</t>
        </is>
      </c>
      <c r="B9">
        <f>COUNTIF(加油记录!X2:X21,"*车辆不匹配*")</f>
        <v/>
      </c>
      <c r="C9" t="inlineStr">
        <is>
          <t>异常类型含「车辆不匹配」</t>
        </is>
      </c>
    </row>
    <row r="10">
      <c r="A10" t="inlineStr">
        <is>
          <t>规则命中-区域异常</t>
        </is>
      </c>
      <c r="B10">
        <f>COUNTIF(加油记录!X2:X21,"*区域异常*")</f>
        <v/>
      </c>
      <c r="C10" t="inlineStr">
        <is>
          <t>异常类型含「区域异常」</t>
        </is>
      </c>
    </row>
    <row r="11">
      <c r="A11" t="inlineStr">
        <is>
          <t>（按分管领导维度汇总见「分管领导清单」）</t>
        </is>
      </c>
      <c r="B11" t="inlineStr"/>
      <c r="C11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40" customWidth="1" min="3" max="3"/>
  </cols>
  <sheetData>
    <row r="1">
      <c r="A1" s="3" t="inlineStr">
        <is>
          <t>分管领导</t>
        </is>
      </c>
      <c r="B1" s="3" t="inlineStr">
        <is>
          <t>预警条数(本表率)</t>
        </is>
      </c>
      <c r="C1" s="3" t="inlineStr">
        <is>
          <t>说明</t>
        </is>
      </c>
    </row>
    <row r="2">
      <c r="A2" t="inlineStr">
        <is>
          <t>张总</t>
        </is>
      </c>
      <c r="B2">
        <f>COUNTIFS(加油记录!R2:R21,"张总",加油记录!V2:V21,"预警")</f>
        <v/>
      </c>
      <c r="C2" t="inlineStr">
        <is>
          <t>模拟推送对象</t>
        </is>
      </c>
    </row>
    <row r="3">
      <c r="A3" t="inlineStr">
        <is>
          <t>李总</t>
        </is>
      </c>
      <c r="B3">
        <f>COUNTIFS(加油记录!R2:R21,"李总",加油记录!V2:V21,"预警")</f>
        <v/>
      </c>
      <c r="C3" t="inlineStr">
        <is>
          <t>模拟推送对象</t>
        </is>
      </c>
    </row>
    <row r="4">
      <c r="A4" t="inlineStr">
        <is>
          <t>王总</t>
        </is>
      </c>
      <c r="B4">
        <f>COUNTIFS(加油记录!R2:R21,"王总",加油记录!V2:V21,"预警")</f>
        <v/>
      </c>
      <c r="C4" t="inlineStr">
        <is>
          <t>模拟推送对象</t>
        </is>
      </c>
    </row>
    <row r="5">
      <c r="A5" t="inlineStr">
        <is>
          <t>（真实企微/邮件推送为生产版功能）</t>
        </is>
      </c>
      <c r="B5" t="inlineStr"/>
      <c r="C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2026-09-30T02:29:27Z</dcterms:created>
  <dcterms:modified xmlns:dcterms="http://purl.org/dc/terms/" xmlns:xsi="http://www.w3.org/2001/XMLSchema-instance" xsi:type="dcterms:W3CDTF">2026-09-30T02:29:27Z</dcterms:modified>
</cp:coreProperties>
</file>